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13665" windowHeight="7755"/>
  </bookViews>
  <sheets>
    <sheet name="Расчет" sheetId="1" r:id="rId1"/>
    <sheet name="Данные" sheetId="3" r:id="rId2"/>
    <sheet name="Расчет (2)" sheetId="4" r:id="rId3"/>
  </sheets>
  <functionGroups builtInGroupCount="17"/>
  <calcPr calcId="145621"/>
</workbook>
</file>

<file path=xl/calcChain.xml><?xml version="1.0" encoding="utf-8"?>
<calcChain xmlns="http://schemas.openxmlformats.org/spreadsheetml/2006/main">
  <c r="L33" i="4" l="1"/>
  <c r="L34" i="4"/>
  <c r="K34" i="4" s="1"/>
  <c r="L35" i="4"/>
  <c r="L36" i="4"/>
  <c r="L37" i="4"/>
  <c r="L38" i="4"/>
  <c r="K38" i="4" s="1"/>
  <c r="L39" i="4"/>
  <c r="L40" i="4"/>
  <c r="L32" i="4"/>
  <c r="K32" i="4" s="1"/>
  <c r="K33" i="4"/>
  <c r="K35" i="4"/>
  <c r="K36" i="4"/>
  <c r="K37" i="4"/>
  <c r="K39" i="4"/>
  <c r="K40" i="4"/>
  <c r="C61" i="4"/>
  <c r="C22" i="4"/>
  <c r="C27" i="4"/>
  <c r="C26" i="4"/>
  <c r="G40" i="4"/>
  <c r="D40" i="4"/>
  <c r="G39" i="4"/>
  <c r="D39" i="4"/>
  <c r="G38" i="4"/>
  <c r="D38" i="4"/>
  <c r="G37" i="4"/>
  <c r="D37" i="4"/>
  <c r="G36" i="4"/>
  <c r="D36" i="4"/>
  <c r="G35" i="4"/>
  <c r="D35" i="4"/>
  <c r="G34" i="4"/>
  <c r="D34" i="4"/>
  <c r="G33" i="4"/>
  <c r="D33" i="4"/>
  <c r="G32" i="4"/>
  <c r="D32" i="4"/>
  <c r="D26" i="4"/>
  <c r="C29" i="4" s="1"/>
  <c r="C61" i="1"/>
  <c r="G33" i="1"/>
  <c r="G34" i="1"/>
  <c r="L34" i="1" s="1"/>
  <c r="D64" i="1" s="1"/>
  <c r="H64" i="1" s="1"/>
  <c r="G35" i="1"/>
  <c r="L35" i="1" s="1"/>
  <c r="D65" i="1" s="1"/>
  <c r="G36" i="1"/>
  <c r="L36" i="1" s="1"/>
  <c r="D66" i="1" s="1"/>
  <c r="H66" i="1" s="1"/>
  <c r="G37" i="1"/>
  <c r="L37" i="1" s="1"/>
  <c r="D67" i="1" s="1"/>
  <c r="G38" i="1"/>
  <c r="L38" i="1" s="1"/>
  <c r="D68" i="1" s="1"/>
  <c r="H68" i="1" s="1"/>
  <c r="G39" i="1"/>
  <c r="L39" i="1" s="1"/>
  <c r="D69" i="1" s="1"/>
  <c r="H69" i="1" s="1"/>
  <c r="G40" i="1"/>
  <c r="L40" i="1" s="1"/>
  <c r="D70" i="1" s="1"/>
  <c r="G32" i="1"/>
  <c r="L32" i="1" s="1"/>
  <c r="D62" i="1" s="1"/>
  <c r="H62" i="1" s="1"/>
  <c r="D33" i="1"/>
  <c r="L33" i="1" s="1"/>
  <c r="D34" i="1"/>
  <c r="D35" i="1"/>
  <c r="D36" i="1"/>
  <c r="D37" i="1"/>
  <c r="D38" i="1"/>
  <c r="D39" i="1"/>
  <c r="D40" i="1"/>
  <c r="D32" i="1"/>
  <c r="B22" i="4"/>
  <c r="D19" i="4"/>
  <c r="D29" i="4"/>
  <c r="D27" i="4"/>
  <c r="F19" i="4"/>
  <c r="B21" i="4"/>
  <c r="B23" i="4"/>
  <c r="D7" i="4"/>
  <c r="D6" i="4"/>
  <c r="D11" i="4" l="1"/>
  <c r="D65" i="4"/>
  <c r="C65" i="4"/>
  <c r="D67" i="4"/>
  <c r="C67" i="4"/>
  <c r="D69" i="4"/>
  <c r="C69" i="4"/>
  <c r="C64" i="4"/>
  <c r="D64" i="4"/>
  <c r="D70" i="4"/>
  <c r="C70" i="4"/>
  <c r="D62" i="4"/>
  <c r="H62" i="4" s="1"/>
  <c r="C62" i="4"/>
  <c r="C66" i="4"/>
  <c r="D66" i="4"/>
  <c r="D68" i="4"/>
  <c r="C68" i="4"/>
  <c r="D63" i="4"/>
  <c r="C63" i="4"/>
  <c r="H70" i="1"/>
  <c r="K32" i="1"/>
  <c r="C62" i="1" s="1"/>
  <c r="K39" i="1"/>
  <c r="C69" i="1" s="1"/>
  <c r="K37" i="1"/>
  <c r="C67" i="1" s="1"/>
  <c r="K35" i="1"/>
  <c r="C65" i="1" s="1"/>
  <c r="K33" i="1"/>
  <c r="C63" i="1" s="1"/>
  <c r="D63" i="1"/>
  <c r="K40" i="1"/>
  <c r="C70" i="1" s="1"/>
  <c r="K36" i="1"/>
  <c r="C66" i="1" s="1"/>
  <c r="K38" i="1"/>
  <c r="C68" i="1" s="1"/>
  <c r="K34" i="1"/>
  <c r="C64" i="1" s="1"/>
  <c r="C26" i="1"/>
  <c r="D26" i="1" s="1"/>
  <c r="C27" i="1" s="1"/>
  <c r="C29" i="1" s="1"/>
  <c r="C22" i="1"/>
  <c r="C11" i="4"/>
  <c r="D29" i="1"/>
  <c r="D19" i="1"/>
  <c r="D7" i="1"/>
  <c r="B21" i="1"/>
  <c r="D27" i="1"/>
  <c r="F19" i="1"/>
  <c r="B22" i="1"/>
  <c r="D6" i="1"/>
  <c r="B23" i="1"/>
  <c r="C14" i="4" l="1"/>
  <c r="H68" i="4"/>
  <c r="H66" i="4"/>
  <c r="H70" i="4"/>
  <c r="H69" i="4"/>
  <c r="H64" i="4"/>
  <c r="D12" i="4"/>
  <c r="D11" i="1"/>
  <c r="C15" i="4"/>
  <c r="C12" i="4"/>
  <c r="C11" i="1"/>
  <c r="C13" i="4" l="1"/>
  <c r="C17" i="4" s="1"/>
  <c r="C16" i="4"/>
  <c r="C14" i="1"/>
  <c r="D12" i="1"/>
  <c r="D16" i="4"/>
  <c r="I32" i="4" s="1"/>
  <c r="C12" i="1"/>
  <c r="C15" i="1"/>
  <c r="E20" i="4" l="1"/>
  <c r="C13" i="1"/>
  <c r="C16" i="1"/>
  <c r="I37" i="4"/>
  <c r="I38" i="4"/>
  <c r="E19" i="4"/>
  <c r="E21" i="4" s="1"/>
  <c r="I39" i="4"/>
  <c r="I35" i="4"/>
  <c r="I36" i="4"/>
  <c r="I33" i="4"/>
  <c r="I34" i="4"/>
  <c r="D16" i="1"/>
  <c r="I40" i="4"/>
  <c r="M37" i="4"/>
  <c r="M38" i="4"/>
  <c r="M39" i="4"/>
  <c r="M32" i="4"/>
  <c r="M35" i="4"/>
  <c r="M36" i="4"/>
  <c r="M33" i="4"/>
  <c r="M34" i="4"/>
  <c r="I37" i="1"/>
  <c r="I33" i="1"/>
  <c r="I40" i="1"/>
  <c r="I36" i="1"/>
  <c r="I39" i="1"/>
  <c r="I35" i="1"/>
  <c r="I38" i="1"/>
  <c r="I34" i="1"/>
  <c r="I32" i="1"/>
  <c r="M40" i="4"/>
  <c r="M37" i="1"/>
  <c r="M39" i="1"/>
  <c r="M32" i="1"/>
  <c r="E69" i="1" l="1"/>
  <c r="E67" i="1"/>
  <c r="E70" i="4"/>
  <c r="F62" i="1"/>
  <c r="F64" i="1"/>
  <c r="F68" i="1"/>
  <c r="F65" i="1"/>
  <c r="F69" i="1"/>
  <c r="F66" i="1"/>
  <c r="F70" i="1"/>
  <c r="F63" i="1"/>
  <c r="F67" i="1"/>
  <c r="E64" i="4"/>
  <c r="E63" i="4"/>
  <c r="E66" i="4"/>
  <c r="E65" i="4"/>
  <c r="E62" i="4"/>
  <c r="E69" i="4"/>
  <c r="E68" i="4"/>
  <c r="E67" i="4"/>
  <c r="F70" i="4"/>
  <c r="F64" i="4"/>
  <c r="F63" i="4"/>
  <c r="F66" i="4"/>
  <c r="F65" i="4"/>
  <c r="F62" i="4"/>
  <c r="F69" i="4"/>
  <c r="F68" i="4"/>
  <c r="F67" i="4"/>
  <c r="C17" i="1"/>
  <c r="E20" i="1" s="1"/>
  <c r="E62" i="1"/>
  <c r="E23" i="4"/>
  <c r="M34" i="1"/>
  <c r="M36" i="1"/>
  <c r="M40" i="1"/>
  <c r="M33" i="1"/>
  <c r="M38" i="1"/>
  <c r="M35" i="1"/>
  <c r="E19" i="1"/>
  <c r="E21" i="1"/>
  <c r="E23" i="1"/>
  <c r="E22" i="4" l="1"/>
  <c r="L67" i="1"/>
  <c r="M67" i="1" s="1"/>
  <c r="K67" i="1"/>
  <c r="G67" i="1"/>
  <c r="I67" i="1" s="1"/>
  <c r="K69" i="1"/>
  <c r="L69" i="1"/>
  <c r="M69" i="1" s="1"/>
  <c r="G69" i="1"/>
  <c r="I69" i="1" s="1"/>
  <c r="L62" i="1"/>
  <c r="M62" i="1" s="1"/>
  <c r="K62" i="1"/>
  <c r="G62" i="1"/>
  <c r="I62" i="1" s="1"/>
  <c r="K67" i="4"/>
  <c r="G67" i="4"/>
  <c r="I67" i="4" s="1"/>
  <c r="L67" i="4"/>
  <c r="M67" i="4" s="1"/>
  <c r="K69" i="4"/>
  <c r="L69" i="4"/>
  <c r="M69" i="4" s="1"/>
  <c r="G69" i="4"/>
  <c r="I69" i="4" s="1"/>
  <c r="G63" i="4"/>
  <c r="I63" i="4" s="1"/>
  <c r="L63" i="4"/>
  <c r="M63" i="4" s="1"/>
  <c r="K63" i="4"/>
  <c r="L63" i="1"/>
  <c r="M63" i="1" s="1"/>
  <c r="K63" i="1"/>
  <c r="G63" i="1"/>
  <c r="I63" i="1" s="1"/>
  <c r="K65" i="1"/>
  <c r="L65" i="1"/>
  <c r="M65" i="1" s="1"/>
  <c r="G65" i="1"/>
  <c r="I65" i="1" s="1"/>
  <c r="L66" i="4"/>
  <c r="M66" i="4" s="1"/>
  <c r="G66" i="4"/>
  <c r="I66" i="4" s="1"/>
  <c r="K66" i="4"/>
  <c r="L68" i="4"/>
  <c r="M68" i="4" s="1"/>
  <c r="G68" i="4"/>
  <c r="I68" i="4" s="1"/>
  <c r="K68" i="4"/>
  <c r="L62" i="4"/>
  <c r="M62" i="4" s="1"/>
  <c r="G62" i="4"/>
  <c r="I62" i="4" s="1"/>
  <c r="K62" i="4"/>
  <c r="K64" i="4"/>
  <c r="L64" i="4"/>
  <c r="M64" i="4" s="1"/>
  <c r="G64" i="4"/>
  <c r="I64" i="4" s="1"/>
  <c r="K70" i="1"/>
  <c r="L70" i="1"/>
  <c r="M70" i="1" s="1"/>
  <c r="G70" i="1"/>
  <c r="I70" i="1" s="1"/>
  <c r="L68" i="1"/>
  <c r="M68" i="1" s="1"/>
  <c r="K68" i="1"/>
  <c r="G68" i="1"/>
  <c r="I68" i="1" s="1"/>
  <c r="G65" i="4"/>
  <c r="I65" i="4" s="1"/>
  <c r="L65" i="4"/>
  <c r="M65" i="4" s="1"/>
  <c r="K65" i="4"/>
  <c r="L70" i="4"/>
  <c r="M70" i="4" s="1"/>
  <c r="G70" i="4"/>
  <c r="I70" i="4" s="1"/>
  <c r="K70" i="4"/>
  <c r="K66" i="1"/>
  <c r="L66" i="1"/>
  <c r="M66" i="1" s="1"/>
  <c r="G66" i="1"/>
  <c r="I66" i="1" s="1"/>
  <c r="L64" i="1"/>
  <c r="M64" i="1" s="1"/>
  <c r="K64" i="1"/>
  <c r="G64" i="1"/>
  <c r="I64" i="1" s="1"/>
  <c r="E65" i="1"/>
  <c r="E68" i="1"/>
  <c r="E63" i="1"/>
  <c r="E70" i="1"/>
  <c r="E66" i="1"/>
  <c r="E64" i="1"/>
  <c r="E22" i="1"/>
  <c r="E24" i="4"/>
  <c r="E24" i="1"/>
  <c r="C28" i="4" l="1"/>
  <c r="C28" i="1"/>
  <c r="F61" i="1" s="1"/>
  <c r="D28" i="4"/>
  <c r="D28" i="1"/>
  <c r="E61" i="1" l="1"/>
  <c r="E61" i="4"/>
  <c r="F61" i="4"/>
  <c r="L61" i="1"/>
  <c r="M61" i="1" s="1"/>
  <c r="G61" i="1"/>
  <c r="I61" i="1" s="1"/>
  <c r="K61" i="1"/>
  <c r="L61" i="4" l="1"/>
  <c r="M61" i="4" s="1"/>
  <c r="K61" i="4"/>
  <c r="G61" i="4"/>
  <c r="I61" i="4" s="1"/>
</calcChain>
</file>

<file path=xl/sharedStrings.xml><?xml version="1.0" encoding="utf-8"?>
<sst xmlns="http://schemas.openxmlformats.org/spreadsheetml/2006/main" count="391" uniqueCount="176">
  <si>
    <t>ДР</t>
  </si>
  <si>
    <t>МР</t>
  </si>
  <si>
    <t xml:space="preserve">Киев. Украина </t>
  </si>
  <si>
    <t>Лагна (Асцендент)</t>
  </si>
  <si>
    <t>Широта n</t>
  </si>
  <si>
    <t>Долгота e</t>
  </si>
  <si>
    <t>GMT</t>
  </si>
  <si>
    <t>Реальное время</t>
  </si>
  <si>
    <t>Определяем реальное время</t>
  </si>
  <si>
    <t>Коррекция реального времени</t>
  </si>
  <si>
    <t xml:space="preserve">Всемирное время и реальное время </t>
  </si>
  <si>
    <t>Интерпояция</t>
  </si>
  <si>
    <t>Учет Айанамши</t>
  </si>
  <si>
    <t>к 22 декабря</t>
  </si>
  <si>
    <t>Планеты</t>
  </si>
  <si>
    <t>Полная айнамша</t>
  </si>
  <si>
    <t>Мула</t>
  </si>
  <si>
    <t>Шравана</t>
  </si>
  <si>
    <t>Хаста</t>
  </si>
  <si>
    <t>Свати</t>
  </si>
  <si>
    <t>Пунарвасу</t>
  </si>
  <si>
    <t>Читра</t>
  </si>
  <si>
    <t>50g26'00''</t>
  </si>
  <si>
    <t>30g31'00''</t>
  </si>
  <si>
    <t xml:space="preserve">Звездное время </t>
  </si>
  <si>
    <t>В секундах звезного времени</t>
  </si>
  <si>
    <t>Звезное время с коррекцией места</t>
  </si>
  <si>
    <t>29g54'00''</t>
  </si>
  <si>
    <t>30g37'00''</t>
  </si>
  <si>
    <t>29g15'00''</t>
  </si>
  <si>
    <t>29g58'00''</t>
  </si>
  <si>
    <t>50g00'00''</t>
  </si>
  <si>
    <t>51g00'00''</t>
  </si>
  <si>
    <t>Итого Лагна (Асцендент)</t>
  </si>
  <si>
    <t>Коррекция по месту всемирного времени</t>
  </si>
  <si>
    <t>Коррекция Айнамши со времени выпуска справочника</t>
  </si>
  <si>
    <t>6g9'51''</t>
  </si>
  <si>
    <t>16g5'00''</t>
  </si>
  <si>
    <t>8g36'00''</t>
  </si>
  <si>
    <t>23g29'00''</t>
  </si>
  <si>
    <t>5g23'00''</t>
  </si>
  <si>
    <t>5g29'00''</t>
  </si>
  <si>
    <t>21g14'00''</t>
  </si>
  <si>
    <t>7g11'01''</t>
  </si>
  <si>
    <t>17g42'00''</t>
  </si>
  <si>
    <t>8g44'00''</t>
  </si>
  <si>
    <t>5g49'00''</t>
  </si>
  <si>
    <t>5g38'00''</t>
  </si>
  <si>
    <t>21g17'00''</t>
  </si>
  <si>
    <t>22g24'00''</t>
  </si>
  <si>
    <t>22g25'00''</t>
  </si>
  <si>
    <t>35g39'00''</t>
  </si>
  <si>
    <r>
      <rPr>
        <sz val="14"/>
        <color theme="1"/>
        <rFont val="Astro"/>
      </rPr>
      <t>A</t>
    </r>
    <r>
      <rPr>
        <sz val="11"/>
        <color theme="1"/>
        <rFont val="Astro"/>
      </rPr>
      <t xml:space="preserve"> </t>
    </r>
    <r>
      <rPr>
        <sz val="11"/>
        <color theme="1"/>
        <rFont val="Calibri"/>
        <family val="2"/>
        <charset val="204"/>
        <scheme val="minor"/>
      </rPr>
      <t>Овен</t>
    </r>
  </si>
  <si>
    <r>
      <rPr>
        <sz val="14"/>
        <color theme="1"/>
        <rFont val="Astro"/>
      </rPr>
      <t>C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Близнецы</t>
    </r>
  </si>
  <si>
    <r>
      <rPr>
        <sz val="14"/>
        <color theme="1"/>
        <rFont val="Astro"/>
      </rPr>
      <t>B</t>
    </r>
    <r>
      <rPr>
        <sz val="14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Телец</t>
    </r>
  </si>
  <si>
    <r>
      <rPr>
        <sz val="14"/>
        <color theme="1"/>
        <rFont val="Astro"/>
      </rPr>
      <t>D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Рак</t>
    </r>
  </si>
  <si>
    <r>
      <rPr>
        <sz val="14"/>
        <color theme="1"/>
        <rFont val="Astro"/>
      </rPr>
      <t>E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Лев</t>
    </r>
  </si>
  <si>
    <r>
      <rPr>
        <sz val="14"/>
        <color theme="1"/>
        <rFont val="Astro"/>
      </rPr>
      <t>F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Дева</t>
    </r>
  </si>
  <si>
    <r>
      <rPr>
        <sz val="14"/>
        <color theme="1"/>
        <rFont val="Astro"/>
      </rPr>
      <t>G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Весы</t>
    </r>
  </si>
  <si>
    <r>
      <rPr>
        <sz val="14"/>
        <color theme="1"/>
        <rFont val="Astro"/>
      </rPr>
      <t>H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Скорпион</t>
    </r>
  </si>
  <si>
    <r>
      <rPr>
        <sz val="11"/>
        <color theme="1"/>
        <rFont val="Astro"/>
      </rPr>
      <t>J</t>
    </r>
    <r>
      <rPr>
        <sz val="11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Козерог</t>
    </r>
  </si>
  <si>
    <r>
      <rPr>
        <sz val="14"/>
        <color theme="1"/>
        <rFont val="Astro"/>
      </rPr>
      <t xml:space="preserve">I </t>
    </r>
    <r>
      <rPr>
        <sz val="11"/>
        <color theme="1"/>
        <rFont val="Calibri"/>
        <family val="2"/>
        <charset val="204"/>
        <scheme val="minor"/>
      </rPr>
      <t>Стрелец</t>
    </r>
  </si>
  <si>
    <r>
      <rPr>
        <sz val="14"/>
        <color theme="1"/>
        <rFont val="Astro"/>
      </rPr>
      <t>K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Водолей</t>
    </r>
  </si>
  <si>
    <r>
      <rPr>
        <sz val="14"/>
        <color theme="1"/>
        <rFont val="Astro"/>
      </rPr>
      <t>L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Рыбы</t>
    </r>
  </si>
  <si>
    <t>Луна</t>
  </si>
  <si>
    <t>Меркурий</t>
  </si>
  <si>
    <t>Венера</t>
  </si>
  <si>
    <t>Марс</t>
  </si>
  <si>
    <t>Юпитер</t>
  </si>
  <si>
    <t>Сатурн</t>
  </si>
  <si>
    <t>Раху</t>
  </si>
  <si>
    <t>Кету</t>
  </si>
  <si>
    <t>Солнце</t>
  </si>
  <si>
    <r>
      <rPr>
        <sz val="14"/>
        <color theme="1"/>
        <rFont val="Astro"/>
      </rPr>
      <t>Q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Солнце</t>
    </r>
  </si>
  <si>
    <r>
      <rPr>
        <sz val="14"/>
        <color theme="1"/>
        <rFont val="Astro"/>
      </rPr>
      <t>R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Луна</t>
    </r>
  </si>
  <si>
    <r>
      <rPr>
        <sz val="11"/>
        <color theme="1"/>
        <rFont val="Astro"/>
      </rPr>
      <t>U</t>
    </r>
    <r>
      <rPr>
        <sz val="11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Марс</t>
    </r>
  </si>
  <si>
    <r>
      <rPr>
        <sz val="14"/>
        <color theme="1"/>
        <rFont val="Astro"/>
      </rPr>
      <t>&gt;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Кету</t>
    </r>
  </si>
  <si>
    <r>
      <rPr>
        <sz val="14"/>
        <color theme="1"/>
        <rFont val="Astro"/>
      </rPr>
      <t xml:space="preserve">&lt; </t>
    </r>
    <r>
      <rPr>
        <sz val="11"/>
        <color theme="1"/>
        <rFont val="Calibri"/>
        <family val="2"/>
        <charset val="204"/>
        <scheme val="minor"/>
      </rPr>
      <t>Раху</t>
    </r>
  </si>
  <si>
    <r>
      <rPr>
        <sz val="14"/>
        <color theme="1"/>
        <rFont val="Astro"/>
      </rPr>
      <t>W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Сатурн</t>
    </r>
  </si>
  <si>
    <r>
      <rPr>
        <sz val="14"/>
        <color theme="1"/>
        <rFont val="Astro"/>
      </rPr>
      <t>V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Юпитер</t>
    </r>
  </si>
  <si>
    <r>
      <rPr>
        <sz val="14"/>
        <color theme="1"/>
        <rFont val="Astro"/>
      </rPr>
      <t>T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Венера</t>
    </r>
  </si>
  <si>
    <r>
      <rPr>
        <sz val="14"/>
        <color theme="1"/>
        <rFont val="Astro"/>
      </rPr>
      <t>S</t>
    </r>
    <r>
      <rPr>
        <sz val="14"/>
        <color theme="1"/>
        <rFont val="Calibri"/>
        <family val="2"/>
        <charset val="204"/>
      </rPr>
      <t xml:space="preserve"> </t>
    </r>
    <r>
      <rPr>
        <sz val="11"/>
        <color theme="1"/>
        <rFont val="Calibri"/>
        <family val="2"/>
        <charset val="204"/>
        <scheme val="minor"/>
      </rPr>
      <t>Меркурий</t>
    </r>
  </si>
  <si>
    <t>A Овен</t>
  </si>
  <si>
    <t>J Козерог</t>
  </si>
  <si>
    <t>K Водолей</t>
  </si>
  <si>
    <t>G Весы</t>
  </si>
  <si>
    <t>H Скорпион</t>
  </si>
  <si>
    <t>D Рак</t>
  </si>
  <si>
    <t>E Лев</t>
  </si>
  <si>
    <t>Знак</t>
  </si>
  <si>
    <t>B Телец</t>
  </si>
  <si>
    <t>C Близнецы</t>
  </si>
  <si>
    <t>F Дева</t>
  </si>
  <si>
    <t>I Стрелец</t>
  </si>
  <si>
    <t>L Рыбы</t>
  </si>
  <si>
    <t>Rasi</t>
  </si>
  <si>
    <t>Q Солнце</t>
  </si>
  <si>
    <t>R Луна</t>
  </si>
  <si>
    <t>S Меркурий</t>
  </si>
  <si>
    <t>T Венера</t>
  </si>
  <si>
    <t>U Марс</t>
  </si>
  <si>
    <t>V Юпитер</t>
  </si>
  <si>
    <t>W Сатурн</t>
  </si>
  <si>
    <t>&lt; Раху</t>
  </si>
  <si>
    <t>&gt; Кету</t>
  </si>
  <si>
    <t>Знаков</t>
  </si>
  <si>
    <t>Градус</t>
  </si>
  <si>
    <t>Лагна</t>
  </si>
  <si>
    <t>D9</t>
  </si>
  <si>
    <t>Занимаемый Знак</t>
  </si>
  <si>
    <t>Накшатра</t>
  </si>
  <si>
    <t>Начало градус</t>
  </si>
  <si>
    <t>Начало минута</t>
  </si>
  <si>
    <t>Окончание</t>
  </si>
  <si>
    <t>градус</t>
  </si>
  <si>
    <t xml:space="preserve">Окончание </t>
  </si>
  <si>
    <t>минута</t>
  </si>
  <si>
    <t>Хозяин</t>
  </si>
  <si>
    <t>Ашвини</t>
  </si>
  <si>
    <t>Бхарани</t>
  </si>
  <si>
    <t>Криттика</t>
  </si>
  <si>
    <t>Рохини</t>
  </si>
  <si>
    <t>Мригашира</t>
  </si>
  <si>
    <t>Ардра</t>
  </si>
  <si>
    <t>Пушья</t>
  </si>
  <si>
    <t>Ашлеша</t>
  </si>
  <si>
    <t>Магха</t>
  </si>
  <si>
    <t>П. Пхалгуни</t>
  </si>
  <si>
    <t>У. Пхалгуни</t>
  </si>
  <si>
    <t>Вишакха</t>
  </si>
  <si>
    <t>Анурадха</t>
  </si>
  <si>
    <t>Джейштха</t>
  </si>
  <si>
    <t>П. Ашадха</t>
  </si>
  <si>
    <t>У. Ашадха</t>
  </si>
  <si>
    <t>Дхаништха</t>
  </si>
  <si>
    <t>Сатабхиша</t>
  </si>
  <si>
    <t>П. Бхадрапад</t>
  </si>
  <si>
    <t>У. Бхадрапад</t>
  </si>
  <si>
    <t>Ревати</t>
  </si>
  <si>
    <t>Градус (Дес)</t>
  </si>
  <si>
    <t>Отсчет от:</t>
  </si>
  <si>
    <t>Знак в Д9</t>
  </si>
  <si>
    <t>Угол от Овна</t>
  </si>
  <si>
    <t>Номер накшатры</t>
  </si>
  <si>
    <t>Количество интервалов</t>
  </si>
  <si>
    <t>Планета</t>
  </si>
  <si>
    <t>на дату 28</t>
  </si>
  <si>
    <t>на дату 29</t>
  </si>
  <si>
    <t>Номер знака</t>
  </si>
  <si>
    <t>Расположение - Интерполяция по времени, айнамша</t>
  </si>
  <si>
    <t>Коррекция знака</t>
  </si>
  <si>
    <t>Россошь.Россия</t>
  </si>
  <si>
    <t>50g12'00''</t>
  </si>
  <si>
    <t>39g34'00''</t>
  </si>
  <si>
    <t>8g57'00''</t>
  </si>
  <si>
    <t>13g14'00''</t>
  </si>
  <si>
    <t>23g24'00''</t>
  </si>
  <si>
    <t>18g00'00''</t>
  </si>
  <si>
    <t>5g07'00''</t>
  </si>
  <si>
    <t>28g40'00''</t>
  </si>
  <si>
    <t>на дату 31</t>
  </si>
  <si>
    <t>на дату 1</t>
  </si>
  <si>
    <t>23g05'00''</t>
  </si>
  <si>
    <t>14g31'00''</t>
  </si>
  <si>
    <t>24g31'00''</t>
  </si>
  <si>
    <t>18g35'00''</t>
  </si>
  <si>
    <t>5g20'00''</t>
  </si>
  <si>
    <t>28g44'00''</t>
  </si>
  <si>
    <t>23g10'00''</t>
  </si>
  <si>
    <t>3g22'00''</t>
  </si>
  <si>
    <t>4g19'00''</t>
  </si>
  <si>
    <t>5g31'00''</t>
  </si>
  <si>
    <t>4g34'00''</t>
  </si>
  <si>
    <t>9g54'09''</t>
  </si>
  <si>
    <t>10g53'24''</t>
  </si>
  <si>
    <t>23g13'00''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</si>
</sst>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Astro"/>
    </font>
    <font>
      <sz val="14"/>
      <color theme="1"/>
      <name val="Astro"/>
    </font>
    <font>
      <sz val="14"/>
      <color theme="1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1"/>
      <color rgb="FFFF0000"/>
      <name val="Astro"/>
    </font>
    <font>
      <sz val="11"/>
      <color rgb="FF00B0F0"/>
      <name val="Astro"/>
    </font>
    <font>
      <sz val="11"/>
      <color theme="4" tint="0.59999389629810485"/>
      <name val="Astro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 diagonalUp="1">
      <left style="thick">
        <color auto="1"/>
      </left>
      <right style="thick">
        <color auto="1"/>
      </right>
      <top style="thick">
        <color auto="1"/>
      </top>
      <bottom/>
      <diagonal style="thick">
        <color auto="1"/>
      </diagonal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quotePrefix="1"/>
    <xf numFmtId="21" fontId="0" fillId="0" borderId="0" xfId="0" applyNumberFormat="1"/>
    <xf numFmtId="0" fontId="0" fillId="0" borderId="0" xfId="0" applyFont="1"/>
    <xf numFmtId="0" fontId="0" fillId="0" borderId="0" xfId="0" applyNumberFormat="1"/>
    <xf numFmtId="0" fontId="0" fillId="2" borderId="0" xfId="0" applyFill="1"/>
    <xf numFmtId="0" fontId="0" fillId="3" borderId="0" xfId="0" applyFill="1"/>
    <xf numFmtId="21" fontId="0" fillId="2" borderId="0" xfId="0" applyNumberFormat="1" applyFill="1"/>
    <xf numFmtId="21" fontId="0" fillId="3" borderId="0" xfId="0" applyNumberFormat="1" applyFill="1"/>
    <xf numFmtId="0" fontId="0" fillId="2" borderId="0" xfId="0" quotePrefix="1" applyFill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2" borderId="0" xfId="0" applyFont="1" applyFill="1"/>
    <xf numFmtId="0" fontId="2" fillId="3" borderId="0" xfId="0" applyFont="1" applyFill="1"/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88"/>
  <sheetViews>
    <sheetView tabSelected="1" topLeftCell="B1" workbookViewId="0">
      <selection activeCell="B1" sqref="B1"/>
    </sheetView>
  </sheetViews>
  <sheetFormatPr defaultRowHeight="15" x14ac:dyDescent="0.25"/>
  <cols>
    <col min="1" max="1" width="19.7109375" customWidth="1"/>
    <col min="2" max="2" width="47.42578125" customWidth="1"/>
    <col min="3" max="4" width="13.28515625" customWidth="1"/>
    <col min="5" max="5" width="15.7109375" customWidth="1"/>
    <col min="6" max="8" width="13.28515625" customWidth="1"/>
    <col min="9" max="9" width="17" customWidth="1"/>
    <col min="10" max="11" width="13.28515625" customWidth="1"/>
    <col min="12" max="12" width="17.42578125" customWidth="1"/>
    <col min="13" max="13" width="13.28515625" customWidth="1"/>
    <col min="14" max="14" width="29" customWidth="1"/>
  </cols>
  <sheetData>
    <row r="2" spans="1:4" x14ac:dyDescent="0.25">
      <c r="B2" s="3"/>
    </row>
    <row r="3" spans="1:4" x14ac:dyDescent="0.25">
      <c r="B3" s="2"/>
    </row>
    <row r="4" spans="1:4" x14ac:dyDescent="0.25">
      <c r="B4" t="s">
        <v>0</v>
      </c>
      <c r="C4" s="1">
        <v>29948</v>
      </c>
      <c r="D4" s="3">
        <v>0.22916666666666666</v>
      </c>
    </row>
    <row r="5" spans="1:4" x14ac:dyDescent="0.25">
      <c r="B5" t="s">
        <v>1</v>
      </c>
      <c r="C5" s="6" t="s">
        <v>2</v>
      </c>
    </row>
    <row r="6" spans="1:4" x14ac:dyDescent="0.25">
      <c r="B6" t="s">
        <v>4</v>
      </c>
      <c r="C6" s="6" t="s">
        <v>22</v>
      </c>
      <c r="D6" s="7">
        <f>GradDec(C6,"G")</f>
        <v>50.43333333333333</v>
      </c>
    </row>
    <row r="7" spans="1:4" x14ac:dyDescent="0.25">
      <c r="B7" t="s">
        <v>5</v>
      </c>
      <c r="C7" s="10" t="s">
        <v>23</v>
      </c>
      <c r="D7" s="7">
        <f>GradDec(C7,"G")</f>
        <v>30.516666666666666</v>
      </c>
    </row>
    <row r="8" spans="1:4" x14ac:dyDescent="0.25">
      <c r="B8" t="s">
        <v>6</v>
      </c>
      <c r="C8" s="8">
        <v>0.125</v>
      </c>
    </row>
    <row r="9" spans="1:4" x14ac:dyDescent="0.25">
      <c r="B9" t="s">
        <v>3</v>
      </c>
    </row>
    <row r="10" spans="1:4" x14ac:dyDescent="0.25">
      <c r="A10">
        <v>1</v>
      </c>
      <c r="B10" t="s">
        <v>24</v>
      </c>
      <c r="C10" s="8">
        <v>0.26770833333333333</v>
      </c>
    </row>
    <row r="11" spans="1:4" x14ac:dyDescent="0.25">
      <c r="A11">
        <v>2</v>
      </c>
      <c r="B11" t="s">
        <v>34</v>
      </c>
      <c r="C11" s="9">
        <f>TimeTime(D11,"H")</f>
        <v>8.4768518518518521E-2</v>
      </c>
      <c r="D11" s="7">
        <f>D7/15</f>
        <v>2.0344444444444445</v>
      </c>
    </row>
    <row r="12" spans="1:4" x14ac:dyDescent="0.25">
      <c r="B12" t="s">
        <v>25</v>
      </c>
      <c r="C12" s="9">
        <f>TimeTime(D12,"S")</f>
        <v>2.3148148148148149E-4</v>
      </c>
      <c r="D12" s="7">
        <f>D11/0.1</f>
        <v>20.344444444444445</v>
      </c>
    </row>
    <row r="13" spans="1:4" x14ac:dyDescent="0.25">
      <c r="B13" t="s">
        <v>26</v>
      </c>
      <c r="C13" s="9">
        <f>C10-C12</f>
        <v>0.26747685185185183</v>
      </c>
    </row>
    <row r="14" spans="1:4" x14ac:dyDescent="0.25">
      <c r="A14">
        <v>3</v>
      </c>
      <c r="B14" t="s">
        <v>8</v>
      </c>
      <c r="C14" s="9">
        <f>D4-C8+C11</f>
        <v>0.18893518518518518</v>
      </c>
    </row>
    <row r="15" spans="1:4" x14ac:dyDescent="0.25">
      <c r="A15">
        <v>4</v>
      </c>
      <c r="B15" t="s">
        <v>9</v>
      </c>
      <c r="C15" s="9">
        <f>TimeTime(ROUNDDOWN(TimeDec(C14,"H")*10,0),"S")</f>
        <v>5.2083333333333333E-4</v>
      </c>
    </row>
    <row r="16" spans="1:4" x14ac:dyDescent="0.25">
      <c r="B16" t="s">
        <v>7</v>
      </c>
      <c r="C16" s="9">
        <f>C14+C15</f>
        <v>0.18945601851851851</v>
      </c>
      <c r="D16" s="7">
        <f>TimeDec(C16,"H")/24</f>
        <v>0.18945601851851854</v>
      </c>
    </row>
    <row r="17" spans="1:13" x14ac:dyDescent="0.25">
      <c r="A17">
        <v>5</v>
      </c>
      <c r="B17" s="4" t="s">
        <v>10</v>
      </c>
      <c r="C17" s="9">
        <f>C13+C16</f>
        <v>0.45693287037037034</v>
      </c>
    </row>
    <row r="18" spans="1:13" x14ac:dyDescent="0.25">
      <c r="A18">
        <v>6</v>
      </c>
      <c r="B18" t="s">
        <v>11</v>
      </c>
      <c r="D18" s="3"/>
      <c r="F18" s="3"/>
    </row>
    <row r="19" spans="1:13" x14ac:dyDescent="0.25">
      <c r="D19" s="7">
        <f>TimeDec(D20,"M")</f>
        <v>656</v>
      </c>
      <c r="E19" s="7">
        <f>TimeDec(E20,"M")</f>
        <v>657.98333333333335</v>
      </c>
      <c r="F19" s="7">
        <f>TimeDec(F20,"M")</f>
        <v>660</v>
      </c>
    </row>
    <row r="20" spans="1:13" ht="15.75" x14ac:dyDescent="0.25">
      <c r="C20" s="13" t="s">
        <v>85</v>
      </c>
      <c r="D20" s="8">
        <v>0.45555555555555555</v>
      </c>
      <c r="E20" s="9">
        <f>C17</f>
        <v>0.45693287037037034</v>
      </c>
      <c r="F20" s="8">
        <v>0.45833333333333331</v>
      </c>
    </row>
    <row r="21" spans="1:13" x14ac:dyDescent="0.25">
      <c r="B21" s="7">
        <f>GradDec(C21,"G")</f>
        <v>50</v>
      </c>
      <c r="C21" s="6" t="s">
        <v>31</v>
      </c>
      <c r="D21" s="6" t="s">
        <v>27</v>
      </c>
      <c r="E21" s="7">
        <f>GradDec(D21,"G")+((GradDec(F21,"G")-GradDec(D21,"G"))*(E19-D19)/(F19-D19))</f>
        <v>30.255347222222223</v>
      </c>
      <c r="F21" s="6" t="s">
        <v>28</v>
      </c>
    </row>
    <row r="22" spans="1:13" x14ac:dyDescent="0.25">
      <c r="B22" s="7">
        <f t="shared" ref="B22" si="0">GradDec(C22,"G")</f>
        <v>50.43333333333333</v>
      </c>
      <c r="C22" s="7" t="str">
        <f>C6</f>
        <v>50g26'00''</v>
      </c>
      <c r="E22" s="7">
        <f>E21-(E21-E23)*((B21-B22)/(B21-B23))</f>
        <v>29.973680555555561</v>
      </c>
    </row>
    <row r="23" spans="1:13" x14ac:dyDescent="0.25">
      <c r="B23" s="7">
        <f>GradDec(C23,"G")</f>
        <v>51</v>
      </c>
      <c r="C23" s="6" t="s">
        <v>32</v>
      </c>
      <c r="D23" s="6" t="s">
        <v>29</v>
      </c>
      <c r="E23" s="7">
        <f>GradDec(D23,"G")+((GradDec(F23,"G")-GradDec(D23,"G"))*(E19-D19)/(F19-D19))</f>
        <v>29.605347222222225</v>
      </c>
      <c r="F23" s="6" t="s">
        <v>30</v>
      </c>
    </row>
    <row r="24" spans="1:13" x14ac:dyDescent="0.25">
      <c r="E24" t="str">
        <f>GradGrad(E22,"G")</f>
        <v>29g58'25''</v>
      </c>
    </row>
    <row r="25" spans="1:13" x14ac:dyDescent="0.25">
      <c r="A25">
        <v>7</v>
      </c>
      <c r="B25" t="s">
        <v>12</v>
      </c>
    </row>
    <row r="26" spans="1:13" x14ac:dyDescent="0.25">
      <c r="B26" t="s">
        <v>35</v>
      </c>
      <c r="C26" s="7">
        <f>YEAR(C4)-1938</f>
        <v>43</v>
      </c>
      <c r="D26" s="7">
        <f>50.29*C26</f>
        <v>2162.4699999999998</v>
      </c>
    </row>
    <row r="27" spans="1:13" x14ac:dyDescent="0.25">
      <c r="B27" t="s">
        <v>13</v>
      </c>
      <c r="C27" s="7">
        <f>((D26+50.29*DAYS360(DATE(YEAR(C4),1,1),C4)/365)/60/60)</f>
        <v>0.61434937595129369</v>
      </c>
      <c r="D27" s="7" t="str">
        <f>GradGrad(C27,"G")</f>
        <v>0g36'51''</v>
      </c>
    </row>
    <row r="28" spans="1:13" x14ac:dyDescent="0.25">
      <c r="B28" t="s">
        <v>33</v>
      </c>
      <c r="C28" s="7">
        <f>E22-C27</f>
        <v>29.359331179604268</v>
      </c>
      <c r="D28" s="7" t="str">
        <f>GradGrad(C28,"G")</f>
        <v>29g21'33''</v>
      </c>
    </row>
    <row r="29" spans="1:13" x14ac:dyDescent="0.25">
      <c r="B29" t="s">
        <v>15</v>
      </c>
      <c r="C29" s="7">
        <f>23+C27</f>
        <v>23.614349375951292</v>
      </c>
      <c r="D29" s="7" t="str">
        <f>GradGrad(C29,"G")</f>
        <v>23g36'51''</v>
      </c>
    </row>
    <row r="30" spans="1:13" ht="15.75" thickBot="1" x14ac:dyDescent="0.3">
      <c r="A30">
        <v>8</v>
      </c>
      <c r="B30" t="s">
        <v>14</v>
      </c>
    </row>
    <row r="31" spans="1:13" ht="61.5" thickTop="1" thickBot="1" x14ac:dyDescent="0.3">
      <c r="B31" s="29" t="s">
        <v>14</v>
      </c>
      <c r="C31" s="29" t="s">
        <v>89</v>
      </c>
      <c r="D31" s="29" t="s">
        <v>148</v>
      </c>
      <c r="E31" s="29" t="s">
        <v>146</v>
      </c>
      <c r="F31" s="29" t="s">
        <v>89</v>
      </c>
      <c r="G31" s="29" t="s">
        <v>148</v>
      </c>
      <c r="H31" s="29" t="s">
        <v>147</v>
      </c>
      <c r="I31" s="29" t="s">
        <v>149</v>
      </c>
      <c r="J31" s="29" t="s">
        <v>150</v>
      </c>
      <c r="K31" s="29" t="s">
        <v>89</v>
      </c>
      <c r="L31" s="29" t="s">
        <v>148</v>
      </c>
      <c r="M31" s="29" t="s">
        <v>106</v>
      </c>
    </row>
    <row r="32" spans="1:13" ht="17.25" thickTop="1" thickBot="1" x14ac:dyDescent="0.3">
      <c r="B32" s="12" t="s">
        <v>96</v>
      </c>
      <c r="C32" s="13" t="s">
        <v>83</v>
      </c>
      <c r="D32" s="7">
        <f>MATCH(C32,Данные!C$3:C$14)-1</f>
        <v>9</v>
      </c>
      <c r="E32" s="6" t="s">
        <v>36</v>
      </c>
      <c r="F32" s="13" t="s">
        <v>83</v>
      </c>
      <c r="G32" s="7">
        <f>MATCH(F32,Данные!C$3:C$14)-1</f>
        <v>9</v>
      </c>
      <c r="H32" s="6" t="s">
        <v>43</v>
      </c>
      <c r="I32" s="7">
        <f t="shared" ref="I32:I40" si="1">GradDec(E32,"G")+(GradDec(H32,"G")-GradDec(E32,"G"))*D$16-C$29+(J32*30)</f>
        <v>12.742957176260642</v>
      </c>
      <c r="J32" s="6">
        <v>1</v>
      </c>
      <c r="K32" s="14" t="str">
        <f>VLOOKUP(L32+1,Данные!B$3:C$14,2)</f>
        <v>I Стрелец</v>
      </c>
      <c r="L32" s="7">
        <f>G32-J32</f>
        <v>8</v>
      </c>
      <c r="M32" s="7" t="str">
        <f t="shared" ref="M32:M40" si="2">GradGrad(I32,"G")</f>
        <v>12g44'34''</v>
      </c>
    </row>
    <row r="33" spans="2:13" ht="16.5" thickBot="1" x14ac:dyDescent="0.3">
      <c r="B33" s="12" t="s">
        <v>97</v>
      </c>
      <c r="C33" s="13" t="s">
        <v>83</v>
      </c>
      <c r="D33" s="7">
        <f>MATCH(C33,Данные!C$3:C$14)-1</f>
        <v>9</v>
      </c>
      <c r="E33" s="6" t="s">
        <v>39</v>
      </c>
      <c r="F33" s="13" t="s">
        <v>84</v>
      </c>
      <c r="G33" s="7">
        <f>MATCH(F33,Данные!C$3:C$14)-1</f>
        <v>10</v>
      </c>
      <c r="H33" s="6" t="s">
        <v>51</v>
      </c>
      <c r="I33" s="7">
        <f t="shared" si="1"/>
        <v>2.1740321826906843</v>
      </c>
      <c r="J33" s="6"/>
      <c r="K33" s="14" t="str">
        <f>VLOOKUP(L33+1,Данные!B$3:C$14,2)</f>
        <v>J Козерог</v>
      </c>
      <c r="L33" s="7">
        <f>D33-J33</f>
        <v>9</v>
      </c>
      <c r="M33" s="7" t="str">
        <f t="shared" si="2"/>
        <v>2g10'26''</v>
      </c>
    </row>
    <row r="34" spans="2:13" ht="16.5" thickBot="1" x14ac:dyDescent="0.3">
      <c r="B34" s="12" t="s">
        <v>98</v>
      </c>
      <c r="C34" s="13" t="s">
        <v>83</v>
      </c>
      <c r="D34" s="7">
        <f>MATCH(C34,Данные!C$3:C$14)-1</f>
        <v>9</v>
      </c>
      <c r="E34" s="6" t="s">
        <v>37</v>
      </c>
      <c r="F34" s="13" t="s">
        <v>83</v>
      </c>
      <c r="G34" s="7">
        <f>MATCH(F34,Данные!C$3:C$14)-1</f>
        <v>9</v>
      </c>
      <c r="H34" s="6" t="s">
        <v>44</v>
      </c>
      <c r="I34" s="7">
        <f t="shared" si="1"/>
        <v>22.77527118732031</v>
      </c>
      <c r="J34" s="6">
        <v>1</v>
      </c>
      <c r="K34" s="14" t="str">
        <f>VLOOKUP(L34+1,Данные!B$3:C$14,2)</f>
        <v>I Стрелец</v>
      </c>
      <c r="L34" s="7">
        <f t="shared" ref="L34:L40" si="3">G34-J34</f>
        <v>8</v>
      </c>
      <c r="M34" s="7" t="str">
        <f t="shared" si="2"/>
        <v>22g46'30''</v>
      </c>
    </row>
    <row r="35" spans="2:13" ht="16.5" thickBot="1" x14ac:dyDescent="0.3">
      <c r="B35" s="12" t="s">
        <v>99</v>
      </c>
      <c r="C35" s="13" t="s">
        <v>84</v>
      </c>
      <c r="D35" s="7">
        <f>MATCH(C35,Данные!C$3:C$14)-1</f>
        <v>10</v>
      </c>
      <c r="E35" s="6" t="s">
        <v>38</v>
      </c>
      <c r="F35" s="13" t="s">
        <v>84</v>
      </c>
      <c r="G35" s="7">
        <f>MATCH(F35,Данные!C$3:C$14)-1</f>
        <v>10</v>
      </c>
      <c r="H35" s="6" t="s">
        <v>45</v>
      </c>
      <c r="I35" s="7">
        <f t="shared" si="1"/>
        <v>15.010911426517843</v>
      </c>
      <c r="J35" s="6">
        <v>1</v>
      </c>
      <c r="K35" s="14" t="str">
        <f>VLOOKUP(L35+1,Данные!B$3:C$14,2)</f>
        <v>J Козерог</v>
      </c>
      <c r="L35" s="7">
        <f t="shared" si="3"/>
        <v>9</v>
      </c>
      <c r="M35" s="7" t="str">
        <f t="shared" si="2"/>
        <v>15g0'39''</v>
      </c>
    </row>
    <row r="36" spans="2:13" ht="16.5" thickBot="1" x14ac:dyDescent="0.3">
      <c r="B36" s="12" t="s">
        <v>100</v>
      </c>
      <c r="C36" s="13" t="s">
        <v>85</v>
      </c>
      <c r="D36" s="7">
        <f>MATCH(C36,Данные!C$3:C$14)-1</f>
        <v>6</v>
      </c>
      <c r="E36" s="6" t="s">
        <v>40</v>
      </c>
      <c r="F36" s="13" t="s">
        <v>85</v>
      </c>
      <c r="G36" s="7">
        <f>MATCH(F36,Данные!C$3:C$14)-1</f>
        <v>6</v>
      </c>
      <c r="H36" s="6" t="s">
        <v>46</v>
      </c>
      <c r="I36" s="7">
        <f t="shared" si="1"/>
        <v>11.851081565406734</v>
      </c>
      <c r="J36" s="6">
        <v>1</v>
      </c>
      <c r="K36" s="14" t="str">
        <f>VLOOKUP(L36+1,Данные!B$3:C$14,2)</f>
        <v>F Дева</v>
      </c>
      <c r="L36" s="7">
        <f t="shared" si="3"/>
        <v>5</v>
      </c>
      <c r="M36" s="7" t="str">
        <f t="shared" si="2"/>
        <v>11g51'3''</v>
      </c>
    </row>
    <row r="37" spans="2:13" ht="16.5" thickBot="1" x14ac:dyDescent="0.3">
      <c r="B37" s="12" t="s">
        <v>101</v>
      </c>
      <c r="C37" s="13" t="s">
        <v>86</v>
      </c>
      <c r="D37" s="7">
        <f>MATCH(C37,Данные!C$3:C$14)-1</f>
        <v>7</v>
      </c>
      <c r="E37" s="6" t="s">
        <v>41</v>
      </c>
      <c r="F37" s="13" t="s">
        <v>86</v>
      </c>
      <c r="G37" s="7">
        <f>MATCH(F37,Данные!C$3:C$14)-1</f>
        <v>7</v>
      </c>
      <c r="H37" s="6" t="s">
        <v>47</v>
      </c>
      <c r="I37" s="7">
        <f t="shared" si="1"/>
        <v>11.89740236015982</v>
      </c>
      <c r="J37" s="6">
        <v>1</v>
      </c>
      <c r="K37" s="14" t="str">
        <f>VLOOKUP(L37+1,Данные!B$3:C$14,2)</f>
        <v>G Весы</v>
      </c>
      <c r="L37" s="7">
        <f t="shared" si="3"/>
        <v>6</v>
      </c>
      <c r="M37" s="7" t="str">
        <f t="shared" si="2"/>
        <v>11g53'50''</v>
      </c>
    </row>
    <row r="38" spans="2:13" ht="16.5" thickBot="1" x14ac:dyDescent="0.3">
      <c r="B38" s="12" t="s">
        <v>102</v>
      </c>
      <c r="C38" s="13" t="s">
        <v>85</v>
      </c>
      <c r="D38" s="7">
        <f>MATCH(C38,Данные!C$3:C$14)-1</f>
        <v>6</v>
      </c>
      <c r="E38" s="6" t="s">
        <v>42</v>
      </c>
      <c r="F38" s="13" t="s">
        <v>85</v>
      </c>
      <c r="G38" s="7">
        <f>MATCH(F38,Данные!C$3:C$14)-1</f>
        <v>6</v>
      </c>
      <c r="H38" s="6" t="s">
        <v>48</v>
      </c>
      <c r="I38" s="7">
        <f t="shared" si="1"/>
        <v>27.628456758307969</v>
      </c>
      <c r="J38" s="6">
        <v>1</v>
      </c>
      <c r="K38" s="14" t="str">
        <f>VLOOKUP(L38+1,Данные!B$3:C$14,2)</f>
        <v>F Дева</v>
      </c>
      <c r="L38" s="7">
        <f t="shared" si="3"/>
        <v>5</v>
      </c>
      <c r="M38" s="7" t="str">
        <f t="shared" si="2"/>
        <v>27g37'42''</v>
      </c>
    </row>
    <row r="39" spans="2:13" ht="16.5" thickBot="1" x14ac:dyDescent="0.3">
      <c r="B39" s="12" t="s">
        <v>103</v>
      </c>
      <c r="C39" s="13" t="s">
        <v>87</v>
      </c>
      <c r="D39" s="7">
        <f>MATCH(C39,Данные!C$3:C$14)-1</f>
        <v>3</v>
      </c>
      <c r="E39" s="6" t="s">
        <v>49</v>
      </c>
      <c r="F39" s="13" t="s">
        <v>87</v>
      </c>
      <c r="G39" s="7">
        <f>MATCH(F39,Данные!C$3:C$14)-1</f>
        <v>3</v>
      </c>
      <c r="H39" s="6" t="s">
        <v>50</v>
      </c>
      <c r="I39" s="7">
        <f t="shared" si="1"/>
        <v>28.78880822435735</v>
      </c>
      <c r="J39" s="6">
        <v>1</v>
      </c>
      <c r="K39" s="14" t="str">
        <f>VLOOKUP(L39+1,Данные!B$3:C$14,2)</f>
        <v>C Близнецы</v>
      </c>
      <c r="L39" s="7">
        <f t="shared" si="3"/>
        <v>2</v>
      </c>
      <c r="M39" s="7" t="str">
        <f t="shared" si="2"/>
        <v>28g47'19''</v>
      </c>
    </row>
    <row r="40" spans="2:13" ht="16.5" thickBot="1" x14ac:dyDescent="0.3">
      <c r="B40" s="12" t="s">
        <v>104</v>
      </c>
      <c r="C40" s="13" t="s">
        <v>83</v>
      </c>
      <c r="D40" s="7">
        <f>MATCH(C40,Данные!C$3:C$14)-1</f>
        <v>9</v>
      </c>
      <c r="E40" s="6" t="s">
        <v>49</v>
      </c>
      <c r="F40" s="13" t="s">
        <v>83</v>
      </c>
      <c r="G40" s="7">
        <f>MATCH(F40,Данные!C$3:C$14)-1</f>
        <v>9</v>
      </c>
      <c r="H40" s="6" t="s">
        <v>50</v>
      </c>
      <c r="I40" s="7">
        <f t="shared" si="1"/>
        <v>28.78880822435735</v>
      </c>
      <c r="J40" s="6">
        <v>1</v>
      </c>
      <c r="K40" s="14" t="str">
        <f>VLOOKUP(L40+1,Данные!B$3:C$14,2)</f>
        <v>I Стрелец</v>
      </c>
      <c r="L40" s="7">
        <f t="shared" si="3"/>
        <v>8</v>
      </c>
      <c r="M40" s="7" t="str">
        <f t="shared" si="2"/>
        <v>28g47'19''</v>
      </c>
    </row>
    <row r="42" spans="2:13" ht="15.75" thickBot="1" x14ac:dyDescent="0.3"/>
    <row r="43" spans="2:13" ht="15.75" thickTop="1" x14ac:dyDescent="0.25">
      <c r="D43" s="15"/>
      <c r="E43" s="15"/>
      <c r="F43" s="15"/>
      <c r="G43" s="15" t="s">
        <v>103</v>
      </c>
    </row>
    <row r="44" spans="2:13" x14ac:dyDescent="0.25">
      <c r="D44" s="16"/>
      <c r="E44" s="16"/>
      <c r="F44" s="16"/>
      <c r="G44" s="16"/>
    </row>
    <row r="45" spans="2:13" x14ac:dyDescent="0.25">
      <c r="D45" s="16"/>
      <c r="E45" s="16"/>
      <c r="F45" s="16"/>
      <c r="G45" s="16"/>
    </row>
    <row r="46" spans="2:13" ht="15.75" thickBot="1" x14ac:dyDescent="0.3">
      <c r="D46" s="17" t="s">
        <v>94</v>
      </c>
      <c r="E46" s="18" t="s">
        <v>82</v>
      </c>
      <c r="F46" s="19" t="s">
        <v>90</v>
      </c>
      <c r="G46" s="20" t="s">
        <v>91</v>
      </c>
    </row>
    <row r="47" spans="2:13" ht="15.75" thickTop="1" x14ac:dyDescent="0.25">
      <c r="D47" s="15"/>
      <c r="E47" s="21"/>
      <c r="F47" s="21"/>
      <c r="G47" s="15"/>
    </row>
    <row r="48" spans="2:13" x14ac:dyDescent="0.25">
      <c r="D48" s="16"/>
      <c r="E48" s="21"/>
      <c r="F48" s="21"/>
      <c r="G48" s="16"/>
    </row>
    <row r="49" spans="2:13" x14ac:dyDescent="0.25">
      <c r="D49" s="16"/>
      <c r="E49" s="21"/>
      <c r="F49" s="21"/>
      <c r="G49" s="16"/>
    </row>
    <row r="50" spans="2:13" ht="15.75" thickBot="1" x14ac:dyDescent="0.3">
      <c r="D50" s="20" t="s">
        <v>84</v>
      </c>
      <c r="E50" s="32" t="s">
        <v>95</v>
      </c>
      <c r="F50" s="33"/>
      <c r="G50" s="17" t="s">
        <v>87</v>
      </c>
    </row>
    <row r="51" spans="2:13" ht="15.75" thickTop="1" x14ac:dyDescent="0.25">
      <c r="D51" s="15" t="s">
        <v>97</v>
      </c>
      <c r="E51" s="34"/>
      <c r="F51" s="33"/>
      <c r="G51" s="15"/>
    </row>
    <row r="52" spans="2:13" x14ac:dyDescent="0.25">
      <c r="D52" s="16" t="s">
        <v>99</v>
      </c>
      <c r="E52" s="21"/>
      <c r="F52" s="21"/>
      <c r="G52" s="16"/>
    </row>
    <row r="53" spans="2:13" x14ac:dyDescent="0.25">
      <c r="D53" s="16"/>
      <c r="E53" s="21"/>
      <c r="F53" s="21"/>
      <c r="G53" s="16"/>
    </row>
    <row r="54" spans="2:13" ht="15.75" thickBot="1" x14ac:dyDescent="0.3">
      <c r="D54" s="19" t="s">
        <v>83</v>
      </c>
      <c r="E54" s="21"/>
      <c r="F54" s="21"/>
      <c r="G54" s="18" t="s">
        <v>88</v>
      </c>
    </row>
    <row r="55" spans="2:13" ht="15.75" thickTop="1" x14ac:dyDescent="0.25">
      <c r="D55" s="15" t="s">
        <v>96</v>
      </c>
      <c r="E55" s="15"/>
      <c r="F55" s="22"/>
      <c r="G55" s="15" t="s">
        <v>100</v>
      </c>
    </row>
    <row r="56" spans="2:13" x14ac:dyDescent="0.25">
      <c r="D56" s="16" t="s">
        <v>98</v>
      </c>
      <c r="E56" s="16"/>
      <c r="F56" s="16" t="s">
        <v>101</v>
      </c>
      <c r="G56" s="16" t="s">
        <v>102</v>
      </c>
    </row>
    <row r="57" spans="2:13" x14ac:dyDescent="0.25">
      <c r="D57" s="16" t="s">
        <v>104</v>
      </c>
      <c r="E57" s="16"/>
      <c r="F57" s="16"/>
      <c r="G57" s="16"/>
    </row>
    <row r="58" spans="2:13" ht="15.75" thickBot="1" x14ac:dyDescent="0.3">
      <c r="D58" s="18" t="s">
        <v>93</v>
      </c>
      <c r="E58" s="17" t="s">
        <v>86</v>
      </c>
      <c r="F58" s="20" t="s">
        <v>85</v>
      </c>
      <c r="G58" s="19" t="s">
        <v>92</v>
      </c>
    </row>
    <row r="59" spans="2:13" ht="16.5" thickTop="1" thickBot="1" x14ac:dyDescent="0.3"/>
    <row r="60" spans="2:13" ht="15.75" thickBot="1" x14ac:dyDescent="0.3">
      <c r="B60" s="26" t="s">
        <v>145</v>
      </c>
      <c r="C60" s="27" t="s">
        <v>89</v>
      </c>
      <c r="D60" s="27" t="s">
        <v>105</v>
      </c>
      <c r="E60" s="27" t="s">
        <v>106</v>
      </c>
      <c r="F60" s="27" t="s">
        <v>139</v>
      </c>
      <c r="G60" s="27" t="s">
        <v>144</v>
      </c>
      <c r="H60" s="27" t="s">
        <v>140</v>
      </c>
      <c r="I60" s="27" t="s">
        <v>141</v>
      </c>
      <c r="J60" s="27"/>
      <c r="K60" s="27" t="s">
        <v>142</v>
      </c>
      <c r="L60" s="27" t="s">
        <v>143</v>
      </c>
      <c r="M60" s="28" t="s">
        <v>110</v>
      </c>
    </row>
    <row r="61" spans="2:13" ht="16.5" thickBot="1" x14ac:dyDescent="0.3">
      <c r="B61" s="12" t="s">
        <v>107</v>
      </c>
      <c r="C61" s="14" t="str">
        <f>C20</f>
        <v>G Весы</v>
      </c>
      <c r="D61" s="7">
        <v>6</v>
      </c>
      <c r="E61" s="7" t="str">
        <f>D28</f>
        <v>29g21'33''</v>
      </c>
      <c r="F61" s="7">
        <f>C28</f>
        <v>29.359331179604268</v>
      </c>
      <c r="G61" s="7">
        <f>ROUNDDOWN(F61*9/30,0)+1</f>
        <v>9</v>
      </c>
      <c r="H61" s="7">
        <v>1</v>
      </c>
      <c r="I61" s="7">
        <f>D61+G61+H61-(12*J61)-1</f>
        <v>3</v>
      </c>
      <c r="J61" s="6">
        <v>1</v>
      </c>
      <c r="K61" s="7">
        <f>(F61+D61*30)</f>
        <v>209.35933117960428</v>
      </c>
      <c r="L61" s="7">
        <f>ROUNDDOWN((F61+D61*30)*27/360,0)+1</f>
        <v>16</v>
      </c>
      <c r="M61" s="7" t="str">
        <f>VLOOKUP(L61,Данные!G$5:M$31,2)</f>
        <v>Вишакха</v>
      </c>
    </row>
    <row r="62" spans="2:13" ht="16.5" thickBot="1" x14ac:dyDescent="0.3">
      <c r="B62" s="11" t="s">
        <v>96</v>
      </c>
      <c r="C62" s="14" t="str">
        <f t="shared" ref="C62:C70" si="4">K32</f>
        <v>I Стрелец</v>
      </c>
      <c r="D62" s="7">
        <f t="shared" ref="D62:D70" si="5">L32</f>
        <v>8</v>
      </c>
      <c r="E62" s="7" t="str">
        <f t="shared" ref="E62:E70" si="6">M32</f>
        <v>12g44'34''</v>
      </c>
      <c r="F62" s="7">
        <f t="shared" ref="F62:F70" si="7">I32</f>
        <v>12.742957176260642</v>
      </c>
      <c r="G62" s="7">
        <f t="shared" ref="G62:G68" si="8">ROUNDDOWN(F62*9/30,0)+1</f>
        <v>4</v>
      </c>
      <c r="H62" s="7">
        <f>VLOOKUP(D62+1,Данные!B$3:D$14,3)</f>
        <v>5</v>
      </c>
      <c r="I62" s="7">
        <f t="shared" ref="I62:I70" si="9">D62+G62+H62-(12*J62)-1</f>
        <v>4</v>
      </c>
      <c r="J62" s="6">
        <v>1</v>
      </c>
      <c r="K62" s="7">
        <f t="shared" ref="K62:K70" si="10">(F62+D62*30)</f>
        <v>252.74295717626063</v>
      </c>
      <c r="L62" s="7">
        <f t="shared" ref="L62:L70" si="11">ROUNDDOWN((F62+D62*30)*27/360,0)+1</f>
        <v>19</v>
      </c>
      <c r="M62" s="7" t="str">
        <f>VLOOKUP(L62,Данные!G$5:M$31,2)</f>
        <v>Мула</v>
      </c>
    </row>
    <row r="63" spans="2:13" ht="16.5" thickBot="1" x14ac:dyDescent="0.3">
      <c r="B63" s="12" t="s">
        <v>97</v>
      </c>
      <c r="C63" s="14" t="str">
        <f t="shared" si="4"/>
        <v>J Козерог</v>
      </c>
      <c r="D63" s="7">
        <f t="shared" si="5"/>
        <v>9</v>
      </c>
      <c r="E63" s="7" t="str">
        <f t="shared" si="6"/>
        <v>2g10'26''</v>
      </c>
      <c r="F63" s="7">
        <f t="shared" si="7"/>
        <v>2.1740321826906843</v>
      </c>
      <c r="G63" s="7">
        <f t="shared" si="8"/>
        <v>1</v>
      </c>
      <c r="H63" s="7">
        <v>1</v>
      </c>
      <c r="I63" s="7">
        <f t="shared" si="9"/>
        <v>10</v>
      </c>
      <c r="J63" s="6"/>
      <c r="K63" s="7">
        <f t="shared" si="10"/>
        <v>272.17403218269067</v>
      </c>
      <c r="L63" s="7">
        <f t="shared" si="11"/>
        <v>21</v>
      </c>
      <c r="M63" s="7" t="str">
        <f>VLOOKUP(L63,Данные!G$5:M$31,2)</f>
        <v>У. Ашадха</v>
      </c>
    </row>
    <row r="64" spans="2:13" ht="16.5" thickBot="1" x14ac:dyDescent="0.3">
      <c r="B64" s="12" t="s">
        <v>98</v>
      </c>
      <c r="C64" s="14" t="str">
        <f t="shared" si="4"/>
        <v>I Стрелец</v>
      </c>
      <c r="D64" s="7">
        <f t="shared" si="5"/>
        <v>8</v>
      </c>
      <c r="E64" s="7" t="str">
        <f t="shared" si="6"/>
        <v>22g46'30''</v>
      </c>
      <c r="F64" s="7">
        <f t="shared" si="7"/>
        <v>22.77527118732031</v>
      </c>
      <c r="G64" s="7">
        <f t="shared" si="8"/>
        <v>7</v>
      </c>
      <c r="H64" s="7">
        <f>VLOOKUP(D64+1,Данные!B$3:D$14,3)</f>
        <v>5</v>
      </c>
      <c r="I64" s="7">
        <f t="shared" si="9"/>
        <v>7</v>
      </c>
      <c r="J64" s="6">
        <v>1</v>
      </c>
      <c r="K64" s="7">
        <f t="shared" si="10"/>
        <v>262.7752711873203</v>
      </c>
      <c r="L64" s="7">
        <f t="shared" si="11"/>
        <v>20</v>
      </c>
      <c r="M64" s="7" t="str">
        <f>VLOOKUP(L64,Данные!G$5:M$31,2)</f>
        <v>П. Ашадха</v>
      </c>
    </row>
    <row r="65" spans="2:13" ht="16.5" thickBot="1" x14ac:dyDescent="0.3">
      <c r="B65" s="12" t="s">
        <v>99</v>
      </c>
      <c r="C65" s="14" t="str">
        <f t="shared" si="4"/>
        <v>J Козерог</v>
      </c>
      <c r="D65" s="7">
        <f t="shared" si="5"/>
        <v>9</v>
      </c>
      <c r="E65" s="7" t="str">
        <f t="shared" si="6"/>
        <v>15g0'39''</v>
      </c>
      <c r="F65" s="7">
        <f t="shared" si="7"/>
        <v>15.010911426517843</v>
      </c>
      <c r="G65" s="7">
        <f t="shared" si="8"/>
        <v>5</v>
      </c>
      <c r="H65" s="7">
        <v>1</v>
      </c>
      <c r="I65" s="7">
        <f t="shared" si="9"/>
        <v>2</v>
      </c>
      <c r="J65" s="6">
        <v>1</v>
      </c>
      <c r="K65" s="7">
        <f t="shared" si="10"/>
        <v>285.01091142651785</v>
      </c>
      <c r="L65" s="7">
        <f t="shared" si="11"/>
        <v>22</v>
      </c>
      <c r="M65" s="7" t="str">
        <f>VLOOKUP(L65,Данные!G$5:M$31,2)</f>
        <v>Шравана</v>
      </c>
    </row>
    <row r="66" spans="2:13" ht="16.5" thickBot="1" x14ac:dyDescent="0.3">
      <c r="B66" s="12" t="s">
        <v>100</v>
      </c>
      <c r="C66" s="14" t="str">
        <f t="shared" si="4"/>
        <v>F Дева</v>
      </c>
      <c r="D66" s="7">
        <f t="shared" si="5"/>
        <v>5</v>
      </c>
      <c r="E66" s="7" t="str">
        <f t="shared" si="6"/>
        <v>11g51'3''</v>
      </c>
      <c r="F66" s="7">
        <f t="shared" si="7"/>
        <v>11.851081565406734</v>
      </c>
      <c r="G66" s="7">
        <f t="shared" si="8"/>
        <v>4</v>
      </c>
      <c r="H66" s="7">
        <f>VLOOKUP(D66+1,Данные!B$3:D$14,3)</f>
        <v>5</v>
      </c>
      <c r="I66" s="7">
        <f t="shared" si="9"/>
        <v>1</v>
      </c>
      <c r="J66" s="6">
        <v>1</v>
      </c>
      <c r="K66" s="7">
        <f t="shared" si="10"/>
        <v>161.85108156540673</v>
      </c>
      <c r="L66" s="7">
        <f t="shared" si="11"/>
        <v>13</v>
      </c>
      <c r="M66" s="7" t="str">
        <f>VLOOKUP(L66,Данные!G$5:M$31,2)</f>
        <v>Хаста</v>
      </c>
    </row>
    <row r="67" spans="2:13" ht="16.5" thickBot="1" x14ac:dyDescent="0.3">
      <c r="B67" s="12" t="s">
        <v>101</v>
      </c>
      <c r="C67" s="14" t="str">
        <f t="shared" si="4"/>
        <v>G Весы</v>
      </c>
      <c r="D67" s="7">
        <f t="shared" si="5"/>
        <v>6</v>
      </c>
      <c r="E67" s="7" t="str">
        <f t="shared" si="6"/>
        <v>11g53'50''</v>
      </c>
      <c r="F67" s="7">
        <f t="shared" si="7"/>
        <v>11.89740236015982</v>
      </c>
      <c r="G67" s="7">
        <f t="shared" si="8"/>
        <v>4</v>
      </c>
      <c r="H67" s="7">
        <v>1</v>
      </c>
      <c r="I67" s="7">
        <f t="shared" si="9"/>
        <v>10</v>
      </c>
      <c r="J67" s="6"/>
      <c r="K67" s="7">
        <f t="shared" si="10"/>
        <v>191.89740236015982</v>
      </c>
      <c r="L67" s="7">
        <f t="shared" si="11"/>
        <v>15</v>
      </c>
      <c r="M67" s="7" t="str">
        <f>VLOOKUP(L67,Данные!G$5:M$31,2)</f>
        <v>Свати</v>
      </c>
    </row>
    <row r="68" spans="2:13" ht="16.5" thickBot="1" x14ac:dyDescent="0.3">
      <c r="B68" s="12" t="s">
        <v>102</v>
      </c>
      <c r="C68" s="14" t="str">
        <f t="shared" si="4"/>
        <v>F Дева</v>
      </c>
      <c r="D68" s="7">
        <f t="shared" si="5"/>
        <v>5</v>
      </c>
      <c r="E68" s="7" t="str">
        <f t="shared" si="6"/>
        <v>27g37'42''</v>
      </c>
      <c r="F68" s="7">
        <f t="shared" si="7"/>
        <v>27.628456758307969</v>
      </c>
      <c r="G68" s="7">
        <f t="shared" si="8"/>
        <v>9</v>
      </c>
      <c r="H68" s="7">
        <f>VLOOKUP(D68+1,Данные!B$3:D$14,3)</f>
        <v>5</v>
      </c>
      <c r="I68" s="7">
        <f t="shared" si="9"/>
        <v>6</v>
      </c>
      <c r="J68" s="6">
        <v>1</v>
      </c>
      <c r="K68" s="7">
        <f t="shared" si="10"/>
        <v>177.62845675830798</v>
      </c>
      <c r="L68" s="7">
        <f t="shared" si="11"/>
        <v>14</v>
      </c>
      <c r="M68" s="7" t="str">
        <f>VLOOKUP(L68,Данные!G$5:M$31,2)</f>
        <v>Читра</v>
      </c>
    </row>
    <row r="69" spans="2:13" ht="16.5" thickBot="1" x14ac:dyDescent="0.3">
      <c r="B69" s="12" t="s">
        <v>103</v>
      </c>
      <c r="C69" s="14" t="str">
        <f t="shared" si="4"/>
        <v>C Близнецы</v>
      </c>
      <c r="D69" s="7">
        <f t="shared" si="5"/>
        <v>2</v>
      </c>
      <c r="E69" s="7" t="str">
        <f t="shared" si="6"/>
        <v>28g47'19''</v>
      </c>
      <c r="F69" s="7">
        <f t="shared" si="7"/>
        <v>28.78880822435735</v>
      </c>
      <c r="G69" s="7">
        <f>ROUNDDOWN(F69*9/30,0)+1</f>
        <v>9</v>
      </c>
      <c r="H69" s="7">
        <f>VLOOKUP(D69+1,Данные!B$3:D$14,3)</f>
        <v>5</v>
      </c>
      <c r="I69" s="7">
        <f t="shared" si="9"/>
        <v>3</v>
      </c>
      <c r="J69" s="6">
        <v>1</v>
      </c>
      <c r="K69" s="7">
        <f t="shared" si="10"/>
        <v>88.788808224357354</v>
      </c>
      <c r="L69" s="7">
        <f t="shared" si="11"/>
        <v>7</v>
      </c>
      <c r="M69" s="7" t="str">
        <f>VLOOKUP(L69,Данные!G$5:M$31,2)</f>
        <v>Пунарвасу</v>
      </c>
    </row>
    <row r="70" spans="2:13" ht="16.5" thickBot="1" x14ac:dyDescent="0.3">
      <c r="B70" s="12" t="s">
        <v>104</v>
      </c>
      <c r="C70" s="14" t="str">
        <f t="shared" si="4"/>
        <v>I Стрелец</v>
      </c>
      <c r="D70" s="7">
        <f t="shared" si="5"/>
        <v>8</v>
      </c>
      <c r="E70" s="7" t="str">
        <f t="shared" si="6"/>
        <v>28g47'19''</v>
      </c>
      <c r="F70" s="7">
        <f t="shared" si="7"/>
        <v>28.78880822435735</v>
      </c>
      <c r="G70" s="7">
        <f>ROUNDDOWN(F70*9/30,0)+1</f>
        <v>9</v>
      </c>
      <c r="H70" s="7">
        <f>VLOOKUP(D70+1,Данные!B$3:D$14,3)</f>
        <v>5</v>
      </c>
      <c r="I70" s="7">
        <f t="shared" si="9"/>
        <v>9</v>
      </c>
      <c r="J70" s="6">
        <v>1</v>
      </c>
      <c r="K70" s="7">
        <f t="shared" si="10"/>
        <v>268.78880822435735</v>
      </c>
      <c r="L70" s="7">
        <f t="shared" si="11"/>
        <v>21</v>
      </c>
      <c r="M70" s="7" t="str">
        <f>VLOOKUP(L70,Данные!G$5:M$31,2)</f>
        <v>У. Ашадха</v>
      </c>
    </row>
    <row r="71" spans="2:13" ht="15.75" thickBot="1" x14ac:dyDescent="0.3"/>
    <row r="72" spans="2:13" ht="15.75" thickTop="1" x14ac:dyDescent="0.25">
      <c r="D72" s="15"/>
      <c r="E72" s="15" t="s">
        <v>100</v>
      </c>
      <c r="F72" s="15" t="s">
        <v>99</v>
      </c>
      <c r="G72" s="22"/>
    </row>
    <row r="73" spans="2:13" x14ac:dyDescent="0.25">
      <c r="D73" s="16"/>
      <c r="E73" s="16"/>
      <c r="F73" s="16"/>
      <c r="G73" s="16" t="s">
        <v>103</v>
      </c>
    </row>
    <row r="74" spans="2:13" x14ac:dyDescent="0.25">
      <c r="D74" s="16"/>
      <c r="E74" s="16"/>
      <c r="F74" s="16"/>
      <c r="G74" s="16"/>
    </row>
    <row r="75" spans="2:13" ht="15.75" thickBot="1" x14ac:dyDescent="0.3">
      <c r="D75" s="17" t="s">
        <v>94</v>
      </c>
      <c r="E75" s="18" t="s">
        <v>82</v>
      </c>
      <c r="F75" s="19" t="s">
        <v>90</v>
      </c>
      <c r="G75" s="20" t="s">
        <v>91</v>
      </c>
    </row>
    <row r="76" spans="2:13" ht="15.75" thickTop="1" x14ac:dyDescent="0.25">
      <c r="D76" s="15"/>
      <c r="E76" s="21"/>
      <c r="F76" s="21"/>
      <c r="G76" s="15" t="s">
        <v>96</v>
      </c>
    </row>
    <row r="77" spans="2:13" x14ac:dyDescent="0.25">
      <c r="D77" s="16"/>
      <c r="E77" s="21"/>
      <c r="F77" s="21"/>
      <c r="G77" s="16"/>
    </row>
    <row r="78" spans="2:13" x14ac:dyDescent="0.25">
      <c r="D78" s="16"/>
      <c r="E78" s="21"/>
      <c r="F78" s="21"/>
      <c r="G78" s="16"/>
    </row>
    <row r="79" spans="2:13" ht="15.75" thickBot="1" x14ac:dyDescent="0.3">
      <c r="D79" s="20" t="s">
        <v>84</v>
      </c>
      <c r="E79" s="32" t="s">
        <v>108</v>
      </c>
      <c r="F79" s="33"/>
      <c r="G79" s="17" t="s">
        <v>87</v>
      </c>
    </row>
    <row r="80" spans="2:13" ht="15.75" thickTop="1" x14ac:dyDescent="0.25">
      <c r="D80" s="15" t="s">
        <v>97</v>
      </c>
      <c r="E80" s="34"/>
      <c r="F80" s="33"/>
      <c r="G80" s="15"/>
    </row>
    <row r="81" spans="4:7" x14ac:dyDescent="0.25">
      <c r="D81" s="16" t="s">
        <v>101</v>
      </c>
      <c r="E81" s="21"/>
      <c r="F81" s="21"/>
      <c r="G81" s="16"/>
    </row>
    <row r="82" spans="4:7" x14ac:dyDescent="0.25">
      <c r="D82" s="16"/>
      <c r="E82" s="21"/>
      <c r="F82" s="21"/>
      <c r="G82" s="16"/>
    </row>
    <row r="83" spans="4:7" ht="15.75" thickBot="1" x14ac:dyDescent="0.3">
      <c r="D83" s="19" t="s">
        <v>83</v>
      </c>
      <c r="E83" s="21"/>
      <c r="F83" s="21"/>
      <c r="G83" s="18" t="s">
        <v>88</v>
      </c>
    </row>
    <row r="84" spans="4:7" ht="15.75" thickTop="1" x14ac:dyDescent="0.25">
      <c r="D84" s="15" t="s">
        <v>104</v>
      </c>
      <c r="E84" s="15"/>
      <c r="F84" s="15" t="s">
        <v>98</v>
      </c>
      <c r="G84" s="15" t="s">
        <v>102</v>
      </c>
    </row>
    <row r="85" spans="4:7" x14ac:dyDescent="0.25">
      <c r="D85" s="16"/>
      <c r="E85" s="16"/>
      <c r="F85" s="16"/>
      <c r="G85" s="16"/>
    </row>
    <row r="86" spans="4:7" x14ac:dyDescent="0.25">
      <c r="D86" s="16"/>
      <c r="E86" s="16"/>
      <c r="F86" s="16"/>
      <c r="G86" s="16"/>
    </row>
    <row r="87" spans="4:7" ht="15.75" thickBot="1" x14ac:dyDescent="0.3">
      <c r="D87" s="18" t="s">
        <v>93</v>
      </c>
      <c r="E87" s="17" t="s">
        <v>86</v>
      </c>
      <c r="F87" s="20" t="s">
        <v>85</v>
      </c>
      <c r="G87" s="19" t="s">
        <v>92</v>
      </c>
    </row>
    <row r="88" spans="4:7" ht="15.75" thickTop="1" x14ac:dyDescent="0.25"/>
  </sheetData>
  <mergeCells count="2">
    <mergeCell ref="E50:F51"/>
    <mergeCell ref="E79:F8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Данные!$C$3:$C$14</xm:f>
          </x14:formula1>
          <xm:sqref>C32:C40 F32:F40 D46:G46 G50 G54 D58:G58 D54 D50 C20 D75:G75 G79 G83 D87:G87 D83 D79</xm:sqref>
        </x14:dataValidation>
        <x14:dataValidation type="list" allowBlank="1" showInputMessage="1" showErrorMessage="1">
          <x14:formula1>
            <xm:f>Данные!$E$3:$E$11</xm:f>
          </x14:formula1>
          <xm:sqref>B32:B40 G80:G82 D43:G45 D55:G57 D76:D78 D80:D82 N62:N70 G47:G49 G51:G53 D47:D49 D51:D53 B62:B70 D72:G74 D84:G86 G76:G78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M31"/>
  <sheetViews>
    <sheetView workbookViewId="0">
      <selection activeCell="C4" sqref="C4"/>
    </sheetView>
  </sheetViews>
  <sheetFormatPr defaultRowHeight="15" x14ac:dyDescent="0.25"/>
  <cols>
    <col min="3" max="3" width="13.7109375" customWidth="1"/>
    <col min="4" max="4" width="13.28515625" customWidth="1"/>
    <col min="5" max="5" width="15.7109375" customWidth="1"/>
    <col min="8" max="8" width="18.28515625" customWidth="1"/>
  </cols>
  <sheetData>
    <row r="2" spans="2:13" ht="15.75" thickBot="1" x14ac:dyDescent="0.3">
      <c r="D2" t="s">
        <v>108</v>
      </c>
    </row>
    <row r="3" spans="2:13" ht="31.5" x14ac:dyDescent="0.3">
      <c r="B3">
        <v>1</v>
      </c>
      <c r="C3" t="s">
        <v>52</v>
      </c>
      <c r="D3">
        <v>0</v>
      </c>
      <c r="E3" t="s">
        <v>73</v>
      </c>
      <c r="F3" s="35" t="s">
        <v>109</v>
      </c>
      <c r="G3" s="35"/>
      <c r="H3" s="35" t="s">
        <v>110</v>
      </c>
      <c r="I3" s="35" t="s">
        <v>111</v>
      </c>
      <c r="J3" s="35" t="s">
        <v>112</v>
      </c>
      <c r="K3" s="23" t="s">
        <v>113</v>
      </c>
      <c r="L3" s="23" t="s">
        <v>115</v>
      </c>
      <c r="M3" s="35" t="s">
        <v>117</v>
      </c>
    </row>
    <row r="4" spans="2:13" ht="20.25" thickBot="1" x14ac:dyDescent="0.35">
      <c r="B4">
        <v>2</v>
      </c>
      <c r="C4" t="s">
        <v>54</v>
      </c>
      <c r="D4">
        <v>9</v>
      </c>
      <c r="E4" t="s">
        <v>74</v>
      </c>
      <c r="F4" s="36"/>
      <c r="G4" s="36"/>
      <c r="H4" s="36"/>
      <c r="I4" s="36"/>
      <c r="J4" s="36"/>
      <c r="K4" s="24" t="s">
        <v>114</v>
      </c>
      <c r="L4" s="24" t="s">
        <v>116</v>
      </c>
      <c r="M4" s="36"/>
    </row>
    <row r="5" spans="2:13" ht="20.25" thickBot="1" x14ac:dyDescent="0.35">
      <c r="B5" s="5">
        <v>3</v>
      </c>
      <c r="C5" t="s">
        <v>53</v>
      </c>
      <c r="D5">
        <v>5</v>
      </c>
      <c r="E5" t="s">
        <v>81</v>
      </c>
      <c r="F5" s="25">
        <v>1</v>
      </c>
      <c r="G5" s="25">
        <v>1</v>
      </c>
      <c r="H5" s="24" t="s">
        <v>118</v>
      </c>
      <c r="I5" s="24">
        <v>0</v>
      </c>
      <c r="J5" s="24">
        <v>0</v>
      </c>
      <c r="K5" s="24">
        <v>13</v>
      </c>
      <c r="L5" s="24">
        <v>20</v>
      </c>
      <c r="M5" s="24" t="s">
        <v>71</v>
      </c>
    </row>
    <row r="6" spans="2:13" ht="20.25" thickBot="1" x14ac:dyDescent="0.35">
      <c r="B6" s="5">
        <v>4</v>
      </c>
      <c r="C6" t="s">
        <v>55</v>
      </c>
      <c r="D6">
        <v>0</v>
      </c>
      <c r="E6" t="s">
        <v>80</v>
      </c>
      <c r="F6" s="25">
        <v>1</v>
      </c>
      <c r="G6" s="25">
        <v>2</v>
      </c>
      <c r="H6" s="24" t="s">
        <v>119</v>
      </c>
      <c r="I6" s="24">
        <v>13</v>
      </c>
      <c r="J6" s="24">
        <v>20</v>
      </c>
      <c r="K6" s="24">
        <v>26</v>
      </c>
      <c r="L6" s="24">
        <v>40</v>
      </c>
      <c r="M6" s="24" t="s">
        <v>66</v>
      </c>
    </row>
    <row r="7" spans="2:13" ht="20.25" thickBot="1" x14ac:dyDescent="0.35">
      <c r="B7" s="5">
        <v>5</v>
      </c>
      <c r="C7" t="s">
        <v>56</v>
      </c>
      <c r="D7">
        <v>9</v>
      </c>
      <c r="E7" t="s">
        <v>75</v>
      </c>
      <c r="F7" s="25">
        <v>1.2</v>
      </c>
      <c r="G7" s="25">
        <v>3</v>
      </c>
      <c r="H7" s="24" t="s">
        <v>120</v>
      </c>
      <c r="I7" s="24">
        <v>26</v>
      </c>
      <c r="J7" s="24">
        <v>40</v>
      </c>
      <c r="K7" s="24">
        <v>40</v>
      </c>
      <c r="L7" s="24">
        <v>0</v>
      </c>
      <c r="M7" s="24" t="s">
        <v>72</v>
      </c>
    </row>
    <row r="8" spans="2:13" ht="20.25" thickBot="1" x14ac:dyDescent="0.35">
      <c r="B8" s="5">
        <v>6</v>
      </c>
      <c r="C8" t="s">
        <v>57</v>
      </c>
      <c r="D8">
        <v>5</v>
      </c>
      <c r="E8" t="s">
        <v>79</v>
      </c>
      <c r="F8" s="25">
        <v>2</v>
      </c>
      <c r="G8" s="25">
        <v>4</v>
      </c>
      <c r="H8" s="24" t="s">
        <v>121</v>
      </c>
      <c r="I8" s="24">
        <v>40</v>
      </c>
      <c r="J8" s="24">
        <v>0</v>
      </c>
      <c r="K8" s="24">
        <v>53</v>
      </c>
      <c r="L8" s="24">
        <v>20</v>
      </c>
      <c r="M8" s="24" t="s">
        <v>64</v>
      </c>
    </row>
    <row r="9" spans="2:13" ht="20.25" thickBot="1" x14ac:dyDescent="0.35">
      <c r="B9" s="5">
        <v>7</v>
      </c>
      <c r="C9" t="s">
        <v>58</v>
      </c>
      <c r="D9">
        <v>0</v>
      </c>
      <c r="E9" t="s">
        <v>78</v>
      </c>
      <c r="F9" s="25">
        <v>2.2999999999999998</v>
      </c>
      <c r="G9" s="25">
        <v>5</v>
      </c>
      <c r="H9" s="24" t="s">
        <v>122</v>
      </c>
      <c r="I9" s="24">
        <v>53</v>
      </c>
      <c r="J9" s="24">
        <v>20</v>
      </c>
      <c r="K9" s="24">
        <v>66</v>
      </c>
      <c r="L9" s="24">
        <v>40</v>
      </c>
      <c r="M9" s="24" t="s">
        <v>67</v>
      </c>
    </row>
    <row r="10" spans="2:13" ht="20.25" thickBot="1" x14ac:dyDescent="0.35">
      <c r="B10" s="5">
        <v>8</v>
      </c>
      <c r="C10" t="s">
        <v>59</v>
      </c>
      <c r="D10">
        <v>9</v>
      </c>
      <c r="E10" t="s">
        <v>77</v>
      </c>
      <c r="F10" s="25">
        <v>3</v>
      </c>
      <c r="G10" s="25">
        <v>6</v>
      </c>
      <c r="H10" s="24" t="s">
        <v>123</v>
      </c>
      <c r="I10" s="24">
        <v>66</v>
      </c>
      <c r="J10" s="24">
        <v>40</v>
      </c>
      <c r="K10" s="24">
        <v>80</v>
      </c>
      <c r="L10" s="24">
        <v>0</v>
      </c>
      <c r="M10" s="24" t="s">
        <v>70</v>
      </c>
    </row>
    <row r="11" spans="2:13" ht="20.25" thickBot="1" x14ac:dyDescent="0.35">
      <c r="B11" s="5">
        <v>9</v>
      </c>
      <c r="C11" t="s">
        <v>61</v>
      </c>
      <c r="D11">
        <v>5</v>
      </c>
      <c r="E11" t="s">
        <v>76</v>
      </c>
      <c r="F11" s="25">
        <v>3.4</v>
      </c>
      <c r="G11" s="25">
        <v>7</v>
      </c>
      <c r="H11" s="24" t="s">
        <v>20</v>
      </c>
      <c r="I11" s="24">
        <v>80</v>
      </c>
      <c r="J11" s="24">
        <v>0</v>
      </c>
      <c r="K11" s="24">
        <v>93</v>
      </c>
      <c r="L11" s="24">
        <v>20</v>
      </c>
      <c r="M11" s="24" t="s">
        <v>68</v>
      </c>
    </row>
    <row r="12" spans="2:13" ht="16.5" thickBot="1" x14ac:dyDescent="0.3">
      <c r="B12" s="5">
        <v>10</v>
      </c>
      <c r="C12" t="s">
        <v>60</v>
      </c>
      <c r="D12">
        <v>0</v>
      </c>
      <c r="F12" s="25">
        <v>4</v>
      </c>
      <c r="G12" s="25">
        <v>8</v>
      </c>
      <c r="H12" s="24" t="s">
        <v>124</v>
      </c>
      <c r="I12" s="24">
        <v>93</v>
      </c>
      <c r="J12" s="24">
        <v>20</v>
      </c>
      <c r="K12" s="24">
        <v>106</v>
      </c>
      <c r="L12" s="24">
        <v>40</v>
      </c>
      <c r="M12" s="24" t="s">
        <v>69</v>
      </c>
    </row>
    <row r="13" spans="2:13" ht="32.25" thickBot="1" x14ac:dyDescent="0.35">
      <c r="B13" s="5">
        <v>11</v>
      </c>
      <c r="C13" t="s">
        <v>62</v>
      </c>
      <c r="D13">
        <v>9</v>
      </c>
      <c r="F13" s="25">
        <v>4</v>
      </c>
      <c r="G13" s="25">
        <v>9</v>
      </c>
      <c r="H13" s="24" t="s">
        <v>125</v>
      </c>
      <c r="I13" s="24">
        <v>106</v>
      </c>
      <c r="J13" s="24">
        <v>40</v>
      </c>
      <c r="K13" s="24">
        <v>120</v>
      </c>
      <c r="L13" s="24">
        <v>0</v>
      </c>
      <c r="M13" s="24" t="s">
        <v>65</v>
      </c>
    </row>
    <row r="14" spans="2:13" ht="20.25" thickBot="1" x14ac:dyDescent="0.35">
      <c r="B14" s="5">
        <v>12</v>
      </c>
      <c r="C14" t="s">
        <v>63</v>
      </c>
      <c r="D14">
        <v>5</v>
      </c>
      <c r="F14" s="25">
        <v>5</v>
      </c>
      <c r="G14" s="25">
        <v>10</v>
      </c>
      <c r="H14" s="24" t="s">
        <v>126</v>
      </c>
      <c r="I14" s="24">
        <v>120</v>
      </c>
      <c r="J14" s="24">
        <v>0</v>
      </c>
      <c r="K14" s="24">
        <v>133</v>
      </c>
      <c r="L14" s="24">
        <v>20</v>
      </c>
      <c r="M14" s="24" t="s">
        <v>71</v>
      </c>
    </row>
    <row r="15" spans="2:13" ht="16.5" thickBot="1" x14ac:dyDescent="0.3">
      <c r="F15" s="25">
        <v>5</v>
      </c>
      <c r="G15" s="25">
        <v>11</v>
      </c>
      <c r="H15" s="24" t="s">
        <v>127</v>
      </c>
      <c r="I15" s="24">
        <v>133</v>
      </c>
      <c r="J15" s="24">
        <v>20</v>
      </c>
      <c r="K15" s="24">
        <v>146</v>
      </c>
      <c r="L15" s="24">
        <v>40</v>
      </c>
      <c r="M15" s="24" t="s">
        <v>66</v>
      </c>
    </row>
    <row r="16" spans="2:13" ht="16.5" thickBot="1" x14ac:dyDescent="0.3">
      <c r="F16" s="25">
        <v>5.6</v>
      </c>
      <c r="G16" s="25">
        <v>12</v>
      </c>
      <c r="H16" s="24" t="s">
        <v>128</v>
      </c>
      <c r="I16" s="24">
        <v>146</v>
      </c>
      <c r="J16" s="24">
        <v>40</v>
      </c>
      <c r="K16" s="24">
        <v>160</v>
      </c>
      <c r="L16" s="24">
        <v>0</v>
      </c>
      <c r="M16" s="24" t="s">
        <v>72</v>
      </c>
    </row>
    <row r="17" spans="6:13" ht="16.5" thickBot="1" x14ac:dyDescent="0.3">
      <c r="F17" s="25">
        <v>6</v>
      </c>
      <c r="G17" s="25">
        <v>13</v>
      </c>
      <c r="H17" s="24" t="s">
        <v>18</v>
      </c>
      <c r="I17" s="24">
        <v>160</v>
      </c>
      <c r="J17" s="24">
        <v>0</v>
      </c>
      <c r="K17" s="24">
        <v>173</v>
      </c>
      <c r="L17" s="24">
        <v>20</v>
      </c>
      <c r="M17" s="24" t="s">
        <v>64</v>
      </c>
    </row>
    <row r="18" spans="6:13" ht="16.5" thickBot="1" x14ac:dyDescent="0.3">
      <c r="F18" s="25">
        <v>6.7</v>
      </c>
      <c r="G18" s="25">
        <v>14</v>
      </c>
      <c r="H18" s="24" t="s">
        <v>21</v>
      </c>
      <c r="I18" s="24">
        <v>173</v>
      </c>
      <c r="J18" s="24">
        <v>20</v>
      </c>
      <c r="K18" s="24">
        <v>186</v>
      </c>
      <c r="L18" s="24">
        <v>40</v>
      </c>
      <c r="M18" s="24" t="s">
        <v>67</v>
      </c>
    </row>
    <row r="19" spans="6:13" ht="16.5" thickBot="1" x14ac:dyDescent="0.3">
      <c r="F19" s="25">
        <v>7</v>
      </c>
      <c r="G19" s="25">
        <v>15</v>
      </c>
      <c r="H19" s="24" t="s">
        <v>19</v>
      </c>
      <c r="I19" s="24">
        <v>186</v>
      </c>
      <c r="J19" s="24">
        <v>40</v>
      </c>
      <c r="K19" s="24">
        <v>200</v>
      </c>
      <c r="L19" s="24">
        <v>0</v>
      </c>
      <c r="M19" s="24" t="s">
        <v>70</v>
      </c>
    </row>
    <row r="20" spans="6:13" ht="16.5" thickBot="1" x14ac:dyDescent="0.3">
      <c r="F20" s="25">
        <v>7.8</v>
      </c>
      <c r="G20" s="25">
        <v>16</v>
      </c>
      <c r="H20" s="24" t="s">
        <v>129</v>
      </c>
      <c r="I20" s="24">
        <v>200</v>
      </c>
      <c r="J20" s="24">
        <v>0</v>
      </c>
      <c r="K20" s="24">
        <v>213</v>
      </c>
      <c r="L20" s="24">
        <v>20</v>
      </c>
      <c r="M20" s="24" t="s">
        <v>68</v>
      </c>
    </row>
    <row r="21" spans="6:13" ht="16.5" thickBot="1" x14ac:dyDescent="0.3">
      <c r="F21" s="25">
        <v>8</v>
      </c>
      <c r="G21" s="25">
        <v>17</v>
      </c>
      <c r="H21" s="24" t="s">
        <v>130</v>
      </c>
      <c r="I21" s="24">
        <v>213</v>
      </c>
      <c r="J21" s="24">
        <v>20</v>
      </c>
      <c r="K21" s="24">
        <v>226</v>
      </c>
      <c r="L21" s="24">
        <v>40</v>
      </c>
      <c r="M21" s="24" t="s">
        <v>69</v>
      </c>
    </row>
    <row r="22" spans="6:13" ht="32.25" thickBot="1" x14ac:dyDescent="0.3">
      <c r="F22" s="25">
        <v>8</v>
      </c>
      <c r="G22" s="25">
        <v>18</v>
      </c>
      <c r="H22" s="24" t="s">
        <v>131</v>
      </c>
      <c r="I22" s="24">
        <v>226</v>
      </c>
      <c r="J22" s="24">
        <v>40</v>
      </c>
      <c r="K22" s="24">
        <v>240</v>
      </c>
      <c r="L22" s="24">
        <v>0</v>
      </c>
      <c r="M22" s="24" t="s">
        <v>65</v>
      </c>
    </row>
    <row r="23" spans="6:13" ht="16.5" thickBot="1" x14ac:dyDescent="0.3">
      <c r="F23" s="25">
        <v>9</v>
      </c>
      <c r="G23" s="25">
        <v>19</v>
      </c>
      <c r="H23" s="24" t="s">
        <v>16</v>
      </c>
      <c r="I23" s="24">
        <v>240</v>
      </c>
      <c r="J23" s="24">
        <v>0</v>
      </c>
      <c r="K23" s="24">
        <v>253</v>
      </c>
      <c r="L23" s="24">
        <v>20</v>
      </c>
      <c r="M23" s="24" t="s">
        <v>71</v>
      </c>
    </row>
    <row r="24" spans="6:13" ht="16.5" thickBot="1" x14ac:dyDescent="0.3">
      <c r="F24" s="25">
        <v>9</v>
      </c>
      <c r="G24" s="25">
        <v>20</v>
      </c>
      <c r="H24" s="24" t="s">
        <v>132</v>
      </c>
      <c r="I24" s="24">
        <v>253</v>
      </c>
      <c r="J24" s="24">
        <v>20</v>
      </c>
      <c r="K24" s="24">
        <v>266</v>
      </c>
      <c r="L24" s="24">
        <v>40</v>
      </c>
      <c r="M24" s="24" t="s">
        <v>66</v>
      </c>
    </row>
    <row r="25" spans="6:13" ht="16.5" thickBot="1" x14ac:dyDescent="0.3">
      <c r="F25" s="25">
        <v>9.1</v>
      </c>
      <c r="G25" s="25">
        <v>21</v>
      </c>
      <c r="H25" s="24" t="s">
        <v>133</v>
      </c>
      <c r="I25" s="24">
        <v>266</v>
      </c>
      <c r="J25" s="24">
        <v>40</v>
      </c>
      <c r="K25" s="24">
        <v>280</v>
      </c>
      <c r="L25" s="24">
        <v>0</v>
      </c>
      <c r="M25" s="24" t="s">
        <v>72</v>
      </c>
    </row>
    <row r="26" spans="6:13" ht="16.5" thickBot="1" x14ac:dyDescent="0.3">
      <c r="F26" s="25">
        <v>10</v>
      </c>
      <c r="G26" s="25">
        <v>22</v>
      </c>
      <c r="H26" s="24" t="s">
        <v>17</v>
      </c>
      <c r="I26" s="24">
        <v>280</v>
      </c>
      <c r="J26" s="24">
        <v>0</v>
      </c>
      <c r="K26" s="24">
        <v>293</v>
      </c>
      <c r="L26" s="24">
        <v>20</v>
      </c>
      <c r="M26" s="24" t="s">
        <v>64</v>
      </c>
    </row>
    <row r="27" spans="6:13" ht="16.5" thickBot="1" x14ac:dyDescent="0.3">
      <c r="F27" s="25">
        <v>10.11</v>
      </c>
      <c r="G27" s="25">
        <v>23</v>
      </c>
      <c r="H27" s="24" t="s">
        <v>134</v>
      </c>
      <c r="I27" s="24">
        <v>293</v>
      </c>
      <c r="J27" s="24">
        <v>20</v>
      </c>
      <c r="K27" s="24">
        <v>306</v>
      </c>
      <c r="L27" s="24">
        <v>40</v>
      </c>
      <c r="M27" s="24" t="s">
        <v>67</v>
      </c>
    </row>
    <row r="28" spans="6:13" ht="16.5" thickBot="1" x14ac:dyDescent="0.3">
      <c r="F28" s="25">
        <v>11</v>
      </c>
      <c r="G28" s="25">
        <v>24</v>
      </c>
      <c r="H28" s="24" t="s">
        <v>135</v>
      </c>
      <c r="I28" s="24">
        <v>306</v>
      </c>
      <c r="J28" s="24">
        <v>40</v>
      </c>
      <c r="K28" s="24">
        <v>320</v>
      </c>
      <c r="L28" s="24">
        <v>0</v>
      </c>
      <c r="M28" s="24" t="s">
        <v>70</v>
      </c>
    </row>
    <row r="29" spans="6:13" ht="16.5" thickBot="1" x14ac:dyDescent="0.3">
      <c r="F29" s="25">
        <v>11.12</v>
      </c>
      <c r="G29" s="25">
        <v>25</v>
      </c>
      <c r="H29" s="24" t="s">
        <v>136</v>
      </c>
      <c r="I29" s="24">
        <v>320</v>
      </c>
      <c r="J29" s="24">
        <v>0</v>
      </c>
      <c r="K29" s="24">
        <v>333</v>
      </c>
      <c r="L29" s="24">
        <v>20</v>
      </c>
      <c r="M29" s="24" t="s">
        <v>68</v>
      </c>
    </row>
    <row r="30" spans="6:13" ht="16.5" thickBot="1" x14ac:dyDescent="0.3">
      <c r="F30" s="25">
        <v>12</v>
      </c>
      <c r="G30" s="25">
        <v>26</v>
      </c>
      <c r="H30" s="24" t="s">
        <v>137</v>
      </c>
      <c r="I30" s="24">
        <v>333</v>
      </c>
      <c r="J30" s="24">
        <v>20</v>
      </c>
      <c r="K30" s="24">
        <v>346</v>
      </c>
      <c r="L30" s="24">
        <v>40</v>
      </c>
      <c r="M30" s="24" t="s">
        <v>69</v>
      </c>
    </row>
    <row r="31" spans="6:13" ht="32.25" thickBot="1" x14ac:dyDescent="0.3">
      <c r="F31" s="25">
        <v>12</v>
      </c>
      <c r="G31" s="25">
        <v>27</v>
      </c>
      <c r="H31" s="24" t="s">
        <v>138</v>
      </c>
      <c r="I31" s="24">
        <v>346</v>
      </c>
      <c r="J31" s="24">
        <v>40</v>
      </c>
      <c r="K31" s="24">
        <v>360</v>
      </c>
      <c r="L31" s="24">
        <v>0</v>
      </c>
      <c r="M31" s="24" t="s">
        <v>65</v>
      </c>
    </row>
  </sheetData>
  <mergeCells count="6">
    <mergeCell ref="F3:F4"/>
    <mergeCell ref="H3:H4"/>
    <mergeCell ref="I3:I4"/>
    <mergeCell ref="J3:J4"/>
    <mergeCell ref="M3:M4"/>
    <mergeCell ref="G3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M88"/>
  <sheetViews>
    <sheetView workbookViewId="0">
      <selection activeCell="B25" sqref="B25"/>
    </sheetView>
  </sheetViews>
  <sheetFormatPr defaultRowHeight="15" x14ac:dyDescent="0.25"/>
  <cols>
    <col min="1" max="1" width="19.7109375" customWidth="1"/>
    <col min="2" max="2" width="47.42578125" customWidth="1"/>
    <col min="3" max="4" width="13.28515625" customWidth="1"/>
    <col min="5" max="5" width="15.7109375" customWidth="1"/>
    <col min="6" max="8" width="13.28515625" customWidth="1"/>
    <col min="9" max="9" width="17" customWidth="1"/>
    <col min="10" max="11" width="13.28515625" customWidth="1"/>
    <col min="12" max="12" width="17.42578125" customWidth="1"/>
    <col min="13" max="13" width="13.28515625" customWidth="1"/>
    <col min="14" max="14" width="29" customWidth="1"/>
  </cols>
  <sheetData>
    <row r="2" spans="1:4" x14ac:dyDescent="0.25">
      <c r="B2" s="3"/>
    </row>
    <row r="3" spans="1:4" x14ac:dyDescent="0.25">
      <c r="B3" s="2"/>
    </row>
    <row r="4" spans="1:4" x14ac:dyDescent="0.25">
      <c r="B4" t="s">
        <v>0</v>
      </c>
      <c r="C4" s="1">
        <v>27119</v>
      </c>
      <c r="D4" s="3">
        <v>0.39583333333333331</v>
      </c>
    </row>
    <row r="5" spans="1:4" x14ac:dyDescent="0.25">
      <c r="B5" t="s">
        <v>1</v>
      </c>
      <c r="C5" s="6" t="s">
        <v>151</v>
      </c>
    </row>
    <row r="6" spans="1:4" x14ac:dyDescent="0.25">
      <c r="B6" t="s">
        <v>4</v>
      </c>
      <c r="C6" s="6" t="s">
        <v>152</v>
      </c>
      <c r="D6" s="7">
        <f>GradDec(C6,"G")</f>
        <v>50.2</v>
      </c>
    </row>
    <row r="7" spans="1:4" x14ac:dyDescent="0.25">
      <c r="B7" t="s">
        <v>5</v>
      </c>
      <c r="C7" s="10" t="s">
        <v>153</v>
      </c>
      <c r="D7" s="7">
        <f>GradDec(C7,"G")</f>
        <v>39.56666666666667</v>
      </c>
    </row>
    <row r="8" spans="1:4" x14ac:dyDescent="0.25">
      <c r="B8" t="s">
        <v>6</v>
      </c>
      <c r="C8" s="8">
        <v>0.125</v>
      </c>
    </row>
    <row r="9" spans="1:4" x14ac:dyDescent="0.25">
      <c r="B9" t="s">
        <v>3</v>
      </c>
    </row>
    <row r="10" spans="1:4" x14ac:dyDescent="0.25">
      <c r="A10">
        <v>1</v>
      </c>
      <c r="B10" t="s">
        <v>24</v>
      </c>
      <c r="C10" s="8">
        <v>0.52218750000000003</v>
      </c>
    </row>
    <row r="11" spans="1:4" x14ac:dyDescent="0.25">
      <c r="A11">
        <v>2</v>
      </c>
      <c r="B11" t="s">
        <v>34</v>
      </c>
      <c r="C11" s="9">
        <f>TimeTime(D11,"H")</f>
        <v>0.10990740740740741</v>
      </c>
      <c r="D11" s="7">
        <f>D7/15</f>
        <v>2.637777777777778</v>
      </c>
    </row>
    <row r="12" spans="1:4" x14ac:dyDescent="0.25">
      <c r="B12" t="s">
        <v>25</v>
      </c>
      <c r="C12" s="9">
        <f>TimeTime(D12,"S")</f>
        <v>3.0092592592592595E-4</v>
      </c>
      <c r="D12" s="7">
        <f>D11/0.1</f>
        <v>26.37777777777778</v>
      </c>
    </row>
    <row r="13" spans="1:4" x14ac:dyDescent="0.25">
      <c r="B13" t="s">
        <v>26</v>
      </c>
      <c r="C13" s="9">
        <f>C10-C12</f>
        <v>0.52188657407407413</v>
      </c>
    </row>
    <row r="14" spans="1:4" x14ac:dyDescent="0.25">
      <c r="A14">
        <v>3</v>
      </c>
      <c r="B14" t="s">
        <v>8</v>
      </c>
      <c r="C14" s="9">
        <f>D4-C8+C11</f>
        <v>0.38074074074074071</v>
      </c>
    </row>
    <row r="15" spans="1:4" x14ac:dyDescent="0.25">
      <c r="A15">
        <v>4</v>
      </c>
      <c r="B15" t="s">
        <v>9</v>
      </c>
      <c r="C15" s="9">
        <f>TimeTime(ROUNDDOWN(TimeDec(C14,"H")*10,0),"S")</f>
        <v>1.0416666666666667E-3</v>
      </c>
    </row>
    <row r="16" spans="1:4" x14ac:dyDescent="0.25">
      <c r="B16" t="s">
        <v>7</v>
      </c>
      <c r="C16" s="9">
        <f>C14+C15</f>
        <v>0.38178240740740738</v>
      </c>
      <c r="D16" s="7">
        <f>TimeDec(C16,"H")/24</f>
        <v>0.38178240740740743</v>
      </c>
    </row>
    <row r="17" spans="1:13" x14ac:dyDescent="0.25">
      <c r="A17">
        <v>5</v>
      </c>
      <c r="B17" s="4" t="s">
        <v>10</v>
      </c>
      <c r="C17" s="9">
        <f>C13+C16</f>
        <v>0.90366898148148156</v>
      </c>
    </row>
    <row r="18" spans="1:13" x14ac:dyDescent="0.25">
      <c r="A18">
        <v>6</v>
      </c>
      <c r="B18" t="s">
        <v>11</v>
      </c>
      <c r="D18" s="3"/>
      <c r="F18" s="3"/>
    </row>
    <row r="19" spans="1:13" x14ac:dyDescent="0.25">
      <c r="D19" s="7">
        <f>TimeDec(D20,"M")</f>
        <v>1300</v>
      </c>
      <c r="E19" s="7">
        <f>TimeDec(E20,"M")</f>
        <v>1301.2833333333333</v>
      </c>
      <c r="F19" s="7">
        <f>TimeDec(F20,"M")</f>
        <v>1304</v>
      </c>
    </row>
    <row r="20" spans="1:13" ht="15.75" x14ac:dyDescent="0.25">
      <c r="C20" s="13" t="s">
        <v>90</v>
      </c>
      <c r="D20" s="8">
        <v>0.90277777777777779</v>
      </c>
      <c r="E20" s="9">
        <f>C17</f>
        <v>0.90366898148148156</v>
      </c>
      <c r="F20" s="8">
        <v>0.90555555555555556</v>
      </c>
    </row>
    <row r="21" spans="1:13" x14ac:dyDescent="0.25">
      <c r="B21" s="7">
        <f>GradDec(C21,"G")</f>
        <v>50</v>
      </c>
      <c r="C21" s="6" t="s">
        <v>31</v>
      </c>
      <c r="D21" s="6" t="s">
        <v>169</v>
      </c>
      <c r="E21" s="7">
        <f>GradDec(D21,"G")+((GradDec(F21,"G")-GradDec(D21,"G"))*(E19-D19)/(F19-D19))</f>
        <v>3.6714583333333262</v>
      </c>
      <c r="F21" s="6" t="s">
        <v>170</v>
      </c>
    </row>
    <row r="22" spans="1:13" x14ac:dyDescent="0.25">
      <c r="B22" s="7">
        <f>GradDec(C22,"G")</f>
        <v>50.2</v>
      </c>
      <c r="C22" s="7" t="str">
        <f>C6</f>
        <v>50g12'00''</v>
      </c>
      <c r="E22" s="7">
        <f>E21-(E21-E23)*((B21-B22)/(B21-B23))</f>
        <v>3.9114583333333295</v>
      </c>
    </row>
    <row r="23" spans="1:13" x14ac:dyDescent="0.25">
      <c r="B23" s="7">
        <f>GradDec(C23,"G")</f>
        <v>51</v>
      </c>
      <c r="C23" s="6" t="s">
        <v>32</v>
      </c>
      <c r="D23" s="6" t="s">
        <v>172</v>
      </c>
      <c r="E23" s="7">
        <f>GradDec(D23,"G")+((GradDec(F23,"G")-GradDec(D23,"G"))*(E19-D19)/(F19-D19))</f>
        <v>4.8714583333333259</v>
      </c>
      <c r="F23" s="6" t="s">
        <v>171</v>
      </c>
    </row>
    <row r="24" spans="1:13" x14ac:dyDescent="0.25">
      <c r="E24" s="31" t="str">
        <f>GradGrad(E22,"G")</f>
        <v>3g54'41''</v>
      </c>
    </row>
    <row r="25" spans="1:13" x14ac:dyDescent="0.25">
      <c r="A25">
        <v>7</v>
      </c>
      <c r="B25" t="s">
        <v>12</v>
      </c>
    </row>
    <row r="26" spans="1:13" x14ac:dyDescent="0.25">
      <c r="B26" t="s">
        <v>35</v>
      </c>
      <c r="C26" s="30">
        <f>YEAR(C4)-1938</f>
        <v>36</v>
      </c>
      <c r="D26" s="7">
        <f>50.29*C26</f>
        <v>1810.44</v>
      </c>
    </row>
    <row r="27" spans="1:13" x14ac:dyDescent="0.25">
      <c r="B27" t="s">
        <v>13</v>
      </c>
      <c r="C27" s="7">
        <f>((D26+50.29*DAYS360(DATE(YEAR(C4),1,1),C4)/365)/60/60)</f>
        <v>0.50634452054794521</v>
      </c>
      <c r="D27" s="7" t="str">
        <f>GradGrad(C27,"G")</f>
        <v>0g30'22''</v>
      </c>
    </row>
    <row r="28" spans="1:13" x14ac:dyDescent="0.25">
      <c r="B28" t="s">
        <v>33</v>
      </c>
      <c r="C28" s="7">
        <f>E22-C27</f>
        <v>3.4051138127853844</v>
      </c>
      <c r="D28" s="7" t="str">
        <f>GradGrad(C28,"G")</f>
        <v>3g24'18''</v>
      </c>
    </row>
    <row r="29" spans="1:13" x14ac:dyDescent="0.25">
      <c r="B29" t="s">
        <v>15</v>
      </c>
      <c r="C29" s="7">
        <f>23+C27</f>
        <v>23.506344520547945</v>
      </c>
      <c r="D29" s="7" t="str">
        <f>GradGrad(C29,"G")</f>
        <v>23g30'22''</v>
      </c>
    </row>
    <row r="30" spans="1:13" ht="15.75" thickBot="1" x14ac:dyDescent="0.3">
      <c r="A30">
        <v>8</v>
      </c>
      <c r="B30" t="s">
        <v>14</v>
      </c>
    </row>
    <row r="31" spans="1:13" ht="61.5" thickTop="1" thickBot="1" x14ac:dyDescent="0.3">
      <c r="B31" s="29" t="s">
        <v>14</v>
      </c>
      <c r="C31" s="29" t="s">
        <v>89</v>
      </c>
      <c r="D31" s="29" t="s">
        <v>148</v>
      </c>
      <c r="E31" s="29" t="s">
        <v>160</v>
      </c>
      <c r="F31" s="29" t="s">
        <v>89</v>
      </c>
      <c r="G31" s="29" t="s">
        <v>148</v>
      </c>
      <c r="H31" s="29" t="s">
        <v>161</v>
      </c>
      <c r="I31" s="29" t="s">
        <v>149</v>
      </c>
      <c r="J31" s="29" t="s">
        <v>150</v>
      </c>
      <c r="K31" s="29" t="s">
        <v>89</v>
      </c>
      <c r="L31" s="29" t="s">
        <v>148</v>
      </c>
      <c r="M31" s="29" t="s">
        <v>106</v>
      </c>
    </row>
    <row r="32" spans="1:13" ht="17.25" thickTop="1" thickBot="1" x14ac:dyDescent="0.3">
      <c r="B32" s="12" t="s">
        <v>96</v>
      </c>
      <c r="C32" s="13" t="s">
        <v>82</v>
      </c>
      <c r="D32" s="7">
        <f>MATCH(C32,Данные!C$3:C$14)-1</f>
        <v>0</v>
      </c>
      <c r="E32" s="6" t="s">
        <v>173</v>
      </c>
      <c r="F32" s="13" t="s">
        <v>82</v>
      </c>
      <c r="G32" s="7">
        <f>MATCH(F32,Данные!C$3:C$14)-1</f>
        <v>0</v>
      </c>
      <c r="H32" s="6" t="s">
        <v>174</v>
      </c>
      <c r="I32" s="7">
        <f t="shared" ref="I32:I40" si="0">GradDec(E32,"G")+(GradDec(H32,"G")-GradDec(E32,"G"))*D$16-C$29+(J32*30)</f>
        <v>16.77316560676687</v>
      </c>
      <c r="J32" s="6">
        <v>1</v>
      </c>
      <c r="K32" s="14" t="str">
        <f>VLOOKUP(L32+1,Данные!B$3:C$14,2)</f>
        <v>L Рыбы</v>
      </c>
      <c r="L32" s="7">
        <f>IF(G32-J32&lt;=0,G32-J32+12,G32-J32)</f>
        <v>11</v>
      </c>
      <c r="M32" s="7" t="str">
        <f t="shared" ref="M32:M40" si="1">GradGrad(I32,"G")</f>
        <v>16g46'23''</v>
      </c>
    </row>
    <row r="33" spans="2:13" ht="16.5" thickBot="1" x14ac:dyDescent="0.3">
      <c r="B33" s="12" t="s">
        <v>97</v>
      </c>
      <c r="C33" s="13" t="s">
        <v>87</v>
      </c>
      <c r="D33" s="7">
        <f>MATCH(C33,Данные!C$3:C$14)-1</f>
        <v>3</v>
      </c>
      <c r="E33" s="6" t="s">
        <v>154</v>
      </c>
      <c r="F33" s="13" t="s">
        <v>87</v>
      </c>
      <c r="G33" s="7">
        <f>MATCH(F33,Данные!C$3:C$14)-1</f>
        <v>3</v>
      </c>
      <c r="H33" s="6" t="s">
        <v>162</v>
      </c>
      <c r="I33" s="7">
        <f t="shared" si="0"/>
        <v>20.839513504143412</v>
      </c>
      <c r="J33" s="6">
        <v>1</v>
      </c>
      <c r="K33" s="14" t="str">
        <f>VLOOKUP(L33+1,Данные!B$3:C$14,2)</f>
        <v>C Близнецы</v>
      </c>
      <c r="L33" s="7">
        <f t="shared" ref="L33:L40" si="2">IF(G33-J33&lt;=0,G33-J33+12,G33-J33)</f>
        <v>2</v>
      </c>
      <c r="M33" s="7" t="str">
        <f t="shared" si="1"/>
        <v>20g50'22''</v>
      </c>
    </row>
    <row r="34" spans="2:13" ht="16.5" thickBot="1" x14ac:dyDescent="0.3">
      <c r="B34" s="12" t="s">
        <v>98</v>
      </c>
      <c r="C34" s="13" t="s">
        <v>94</v>
      </c>
      <c r="D34" s="7">
        <f>MATCH(C34,Данные!C$3:C$14)-1</f>
        <v>11</v>
      </c>
      <c r="E34" s="6" t="s">
        <v>155</v>
      </c>
      <c r="F34" s="13" t="s">
        <v>94</v>
      </c>
      <c r="G34" s="7">
        <f>MATCH(F34,Данные!C$3:C$14)-1</f>
        <v>11</v>
      </c>
      <c r="H34" s="6" t="s">
        <v>163</v>
      </c>
      <c r="I34" s="7">
        <f t="shared" si="0"/>
        <v>20.216942902291564</v>
      </c>
      <c r="J34" s="6">
        <v>1</v>
      </c>
      <c r="K34" s="14" t="str">
        <f>VLOOKUP(L34+1,Данные!B$3:C$14,2)</f>
        <v>K Водолей</v>
      </c>
      <c r="L34" s="7">
        <f t="shared" si="2"/>
        <v>10</v>
      </c>
      <c r="M34" s="7" t="str">
        <f t="shared" si="1"/>
        <v>20g13'0''</v>
      </c>
    </row>
    <row r="35" spans="2:13" ht="16.5" thickBot="1" x14ac:dyDescent="0.3">
      <c r="B35" s="12" t="s">
        <v>99</v>
      </c>
      <c r="C35" s="13" t="s">
        <v>84</v>
      </c>
      <c r="D35" s="7">
        <f>MATCH(C35,Данные!C$3:C$14)-1</f>
        <v>10</v>
      </c>
      <c r="E35" s="6" t="s">
        <v>156</v>
      </c>
      <c r="F35" s="13" t="s">
        <v>84</v>
      </c>
      <c r="G35" s="7">
        <f>MATCH(F35,Данные!C$3:C$14)-1</f>
        <v>10</v>
      </c>
      <c r="H35" s="6" t="s">
        <v>164</v>
      </c>
      <c r="I35" s="7">
        <f t="shared" si="0"/>
        <v>0.31997916772365897</v>
      </c>
      <c r="J35" s="6"/>
      <c r="K35" s="14" t="str">
        <f>VLOOKUP(L35+1,Данные!B$3:C$14,2)</f>
        <v>K Водолей</v>
      </c>
      <c r="L35" s="7">
        <f t="shared" si="2"/>
        <v>10</v>
      </c>
      <c r="M35" s="7" t="str">
        <f t="shared" si="1"/>
        <v>0g19'11''</v>
      </c>
    </row>
    <row r="36" spans="2:13" ht="16.5" thickBot="1" x14ac:dyDescent="0.3">
      <c r="B36" s="12" t="s">
        <v>100</v>
      </c>
      <c r="C36" s="13" t="s">
        <v>91</v>
      </c>
      <c r="D36" s="7">
        <f>MATCH(C36,Данные!C$3:C$14)-1</f>
        <v>2</v>
      </c>
      <c r="E36" s="6" t="s">
        <v>157</v>
      </c>
      <c r="F36" s="13" t="s">
        <v>91</v>
      </c>
      <c r="G36" s="7">
        <f>MATCH(F36,Данные!C$3:C$14)-1</f>
        <v>2</v>
      </c>
      <c r="H36" s="6" t="s">
        <v>165</v>
      </c>
      <c r="I36" s="7">
        <f t="shared" si="0"/>
        <v>24.716361883773043</v>
      </c>
      <c r="J36" s="6">
        <v>1</v>
      </c>
      <c r="K36" s="14" t="str">
        <f>VLOOKUP(L36+1,Данные!B$3:C$14,2)</f>
        <v>B Телец</v>
      </c>
      <c r="L36" s="7">
        <f t="shared" si="2"/>
        <v>1</v>
      </c>
      <c r="M36" s="7" t="str">
        <f t="shared" si="1"/>
        <v>24g42'58''</v>
      </c>
    </row>
    <row r="37" spans="2:13" ht="16.5" thickBot="1" x14ac:dyDescent="0.3">
      <c r="B37" s="12" t="s">
        <v>101</v>
      </c>
      <c r="C37" s="13" t="s">
        <v>94</v>
      </c>
      <c r="D37" s="7">
        <f>MATCH(C37,Данные!C$3:C$14)-1</f>
        <v>11</v>
      </c>
      <c r="E37" s="6" t="s">
        <v>158</v>
      </c>
      <c r="F37" s="13" t="s">
        <v>94</v>
      </c>
      <c r="G37" s="7">
        <f>MATCH(F37,Данные!C$3:C$14)-1</f>
        <v>11</v>
      </c>
      <c r="H37" s="6" t="s">
        <v>166</v>
      </c>
      <c r="I37" s="7">
        <f t="shared" si="0"/>
        <v>11.693041667723659</v>
      </c>
      <c r="J37" s="6">
        <v>1</v>
      </c>
      <c r="K37" s="14" t="str">
        <f>VLOOKUP(L37+1,Данные!B$3:C$14,2)</f>
        <v>K Водолей</v>
      </c>
      <c r="L37" s="7">
        <f t="shared" si="2"/>
        <v>10</v>
      </c>
      <c r="M37" s="7" t="str">
        <f t="shared" si="1"/>
        <v>11g41'34''</v>
      </c>
    </row>
    <row r="38" spans="2:13" ht="16.5" thickBot="1" x14ac:dyDescent="0.3">
      <c r="B38" s="12" t="s">
        <v>102</v>
      </c>
      <c r="C38" s="13" t="s">
        <v>91</v>
      </c>
      <c r="D38" s="7">
        <f>MATCH(C38,Данные!C$3:C$14)-1</f>
        <v>2</v>
      </c>
      <c r="E38" s="6" t="s">
        <v>159</v>
      </c>
      <c r="F38" s="13" t="s">
        <v>91</v>
      </c>
      <c r="G38" s="7">
        <f>MATCH(F38,Данные!C$3:C$14)-1</f>
        <v>2</v>
      </c>
      <c r="H38" s="6" t="s">
        <v>167</v>
      </c>
      <c r="I38" s="7">
        <f t="shared" si="0"/>
        <v>5.1857743066125508</v>
      </c>
      <c r="J38" s="6"/>
      <c r="K38" s="14" t="str">
        <f>VLOOKUP(L38+1,Данные!B$3:C$14,2)</f>
        <v>C Близнецы</v>
      </c>
      <c r="L38" s="7">
        <f t="shared" si="2"/>
        <v>2</v>
      </c>
      <c r="M38" s="7" t="str">
        <f t="shared" si="1"/>
        <v>5g11'8''</v>
      </c>
    </row>
    <row r="39" spans="2:13" ht="16.5" thickBot="1" x14ac:dyDescent="0.3">
      <c r="B39" s="12" t="s">
        <v>103</v>
      </c>
      <c r="C39" s="13" t="s">
        <v>93</v>
      </c>
      <c r="D39" s="7">
        <f>MATCH(C39,Данные!C$3:C$14)-1</f>
        <v>8</v>
      </c>
      <c r="E39" s="6" t="s">
        <v>175</v>
      </c>
      <c r="F39" s="13" t="s">
        <v>87</v>
      </c>
      <c r="G39" s="7">
        <f>MATCH(F39,Данные!C$3:C$14)-1</f>
        <v>3</v>
      </c>
      <c r="H39" s="6" t="s">
        <v>168</v>
      </c>
      <c r="I39" s="7">
        <f t="shared" si="0"/>
        <v>29.69123302574835</v>
      </c>
      <c r="J39" s="6">
        <v>1</v>
      </c>
      <c r="K39" s="14" t="str">
        <f>VLOOKUP(L39+1,Данные!B$3:C$14,2)</f>
        <v>C Близнецы</v>
      </c>
      <c r="L39" s="7">
        <f t="shared" si="2"/>
        <v>2</v>
      </c>
      <c r="M39" s="7" t="str">
        <f t="shared" si="1"/>
        <v>29g41'28''</v>
      </c>
    </row>
    <row r="40" spans="2:13" ht="16.5" thickBot="1" x14ac:dyDescent="0.3">
      <c r="B40" s="12" t="s">
        <v>104</v>
      </c>
      <c r="C40" s="13" t="s">
        <v>90</v>
      </c>
      <c r="D40" s="7">
        <f>MATCH(C40,Данные!C$3:C$14)-1</f>
        <v>1</v>
      </c>
      <c r="E40" s="6" t="s">
        <v>175</v>
      </c>
      <c r="F40" s="13" t="s">
        <v>83</v>
      </c>
      <c r="G40" s="7">
        <f>MATCH(F40,Данные!C$3:C$14)-1</f>
        <v>9</v>
      </c>
      <c r="H40" s="6" t="s">
        <v>168</v>
      </c>
      <c r="I40" s="7">
        <f t="shared" si="0"/>
        <v>29.69123302574835</v>
      </c>
      <c r="J40" s="6">
        <v>1</v>
      </c>
      <c r="K40" s="14" t="str">
        <f>VLOOKUP(L40+1,Данные!B$3:C$14,2)</f>
        <v>I Стрелец</v>
      </c>
      <c r="L40" s="7">
        <f t="shared" si="2"/>
        <v>8</v>
      </c>
      <c r="M40" s="7" t="str">
        <f t="shared" si="1"/>
        <v>29g41'28''</v>
      </c>
    </row>
    <row r="42" spans="2:13" ht="15.75" thickBot="1" x14ac:dyDescent="0.3"/>
    <row r="43" spans="2:13" ht="15.75" thickTop="1" x14ac:dyDescent="0.25">
      <c r="D43" s="15"/>
      <c r="E43" s="15"/>
      <c r="F43" s="15"/>
      <c r="G43" s="15" t="s">
        <v>103</v>
      </c>
    </row>
    <row r="44" spans="2:13" x14ac:dyDescent="0.25">
      <c r="D44" s="16"/>
      <c r="E44" s="16"/>
      <c r="F44" s="16"/>
      <c r="G44" s="16"/>
    </row>
    <row r="45" spans="2:13" x14ac:dyDescent="0.25">
      <c r="D45" s="16"/>
      <c r="E45" s="16"/>
      <c r="F45" s="16"/>
      <c r="G45" s="16"/>
    </row>
    <row r="46" spans="2:13" ht="15.75" thickBot="1" x14ac:dyDescent="0.3">
      <c r="D46" s="17" t="s">
        <v>94</v>
      </c>
      <c r="E46" s="18" t="s">
        <v>82</v>
      </c>
      <c r="F46" s="19" t="s">
        <v>90</v>
      </c>
      <c r="G46" s="20" t="s">
        <v>91</v>
      </c>
    </row>
    <row r="47" spans="2:13" ht="15.75" thickTop="1" x14ac:dyDescent="0.25">
      <c r="D47" s="15"/>
      <c r="E47" s="21"/>
      <c r="F47" s="21"/>
      <c r="G47" s="15"/>
    </row>
    <row r="48" spans="2:13" x14ac:dyDescent="0.25">
      <c r="D48" s="16"/>
      <c r="E48" s="21"/>
      <c r="F48" s="21"/>
      <c r="G48" s="16"/>
    </row>
    <row r="49" spans="2:13" x14ac:dyDescent="0.25">
      <c r="D49" s="16"/>
      <c r="E49" s="21"/>
      <c r="F49" s="21"/>
      <c r="G49" s="16"/>
    </row>
    <row r="50" spans="2:13" ht="15.75" thickBot="1" x14ac:dyDescent="0.3">
      <c r="D50" s="20" t="s">
        <v>84</v>
      </c>
      <c r="E50" s="32" t="s">
        <v>95</v>
      </c>
      <c r="F50" s="33"/>
      <c r="G50" s="17" t="s">
        <v>87</v>
      </c>
    </row>
    <row r="51" spans="2:13" ht="15.75" thickTop="1" x14ac:dyDescent="0.25">
      <c r="D51" s="15" t="s">
        <v>97</v>
      </c>
      <c r="E51" s="34"/>
      <c r="F51" s="33"/>
      <c r="G51" s="15"/>
    </row>
    <row r="52" spans="2:13" x14ac:dyDescent="0.25">
      <c r="D52" s="16" t="s">
        <v>99</v>
      </c>
      <c r="E52" s="21"/>
      <c r="F52" s="21"/>
      <c r="G52" s="16"/>
    </row>
    <row r="53" spans="2:13" x14ac:dyDescent="0.25">
      <c r="D53" s="16"/>
      <c r="E53" s="21"/>
      <c r="F53" s="21"/>
      <c r="G53" s="16"/>
    </row>
    <row r="54" spans="2:13" ht="15.75" thickBot="1" x14ac:dyDescent="0.3">
      <c r="D54" s="19" t="s">
        <v>83</v>
      </c>
      <c r="E54" s="21"/>
      <c r="F54" s="21"/>
      <c r="G54" s="18" t="s">
        <v>88</v>
      </c>
    </row>
    <row r="55" spans="2:13" ht="15.75" thickTop="1" x14ac:dyDescent="0.25">
      <c r="D55" s="15" t="s">
        <v>96</v>
      </c>
      <c r="E55" s="15"/>
      <c r="F55" s="22"/>
      <c r="G55" s="15" t="s">
        <v>100</v>
      </c>
    </row>
    <row r="56" spans="2:13" x14ac:dyDescent="0.25">
      <c r="D56" s="16" t="s">
        <v>98</v>
      </c>
      <c r="E56" s="16"/>
      <c r="F56" s="16" t="s">
        <v>101</v>
      </c>
      <c r="G56" s="16" t="s">
        <v>102</v>
      </c>
    </row>
    <row r="57" spans="2:13" x14ac:dyDescent="0.25">
      <c r="D57" s="16" t="s">
        <v>104</v>
      </c>
      <c r="E57" s="16"/>
      <c r="F57" s="16"/>
      <c r="G57" s="16"/>
    </row>
    <row r="58" spans="2:13" ht="15.75" thickBot="1" x14ac:dyDescent="0.3">
      <c r="D58" s="18" t="s">
        <v>93</v>
      </c>
      <c r="E58" s="17" t="s">
        <v>86</v>
      </c>
      <c r="F58" s="20" t="s">
        <v>85</v>
      </c>
      <c r="G58" s="19" t="s">
        <v>92</v>
      </c>
    </row>
    <row r="59" spans="2:13" ht="16.5" thickTop="1" thickBot="1" x14ac:dyDescent="0.3"/>
    <row r="60" spans="2:13" ht="15.75" thickBot="1" x14ac:dyDescent="0.3">
      <c r="B60" s="26" t="s">
        <v>145</v>
      </c>
      <c r="C60" s="27" t="s">
        <v>89</v>
      </c>
      <c r="D60" s="27" t="s">
        <v>105</v>
      </c>
      <c r="E60" s="27" t="s">
        <v>106</v>
      </c>
      <c r="F60" s="27" t="s">
        <v>139</v>
      </c>
      <c r="G60" s="27" t="s">
        <v>144</v>
      </c>
      <c r="H60" s="27" t="s">
        <v>140</v>
      </c>
      <c r="I60" s="27" t="s">
        <v>141</v>
      </c>
      <c r="J60" s="27"/>
      <c r="K60" s="27" t="s">
        <v>142</v>
      </c>
      <c r="L60" s="27" t="s">
        <v>143</v>
      </c>
      <c r="M60" s="28" t="s">
        <v>110</v>
      </c>
    </row>
    <row r="61" spans="2:13" ht="16.5" thickBot="1" x14ac:dyDescent="0.3">
      <c r="B61" s="12" t="s">
        <v>107</v>
      </c>
      <c r="C61" s="14" t="str">
        <f>C20</f>
        <v>B Телец</v>
      </c>
      <c r="D61" s="7">
        <v>1</v>
      </c>
      <c r="E61" s="7" t="str">
        <f>D28</f>
        <v>3g24'18''</v>
      </c>
      <c r="F61" s="7">
        <f>C28</f>
        <v>3.4051138127853844</v>
      </c>
      <c r="G61" s="7">
        <f>ROUNDDOWN(F61*9/30,0)+1</f>
        <v>2</v>
      </c>
      <c r="H61" s="7">
        <v>1</v>
      </c>
      <c r="I61" s="7">
        <f>D61+G61+H61-(12*J61)-1</f>
        <v>-9</v>
      </c>
      <c r="J61" s="6">
        <v>1</v>
      </c>
      <c r="K61" s="7">
        <f>(F61+D61*30)</f>
        <v>33.405113812785387</v>
      </c>
      <c r="L61" s="7">
        <f>ROUNDDOWN((F61+D61*30)*27/360,0)+1</f>
        <v>3</v>
      </c>
      <c r="M61" s="7" t="str">
        <f>VLOOKUP(L61,Данные!G$5:M$31,2)</f>
        <v>Криттика</v>
      </c>
    </row>
    <row r="62" spans="2:13" ht="16.5" thickBot="1" x14ac:dyDescent="0.3">
      <c r="B62" s="11" t="s">
        <v>96</v>
      </c>
      <c r="C62" s="14" t="str">
        <f t="shared" ref="C62:C70" si="3">K32</f>
        <v>L Рыбы</v>
      </c>
      <c r="D62" s="7">
        <f t="shared" ref="D62:D70" si="4">L32</f>
        <v>11</v>
      </c>
      <c r="E62" s="7" t="str">
        <f t="shared" ref="E62:E70" si="5">M32</f>
        <v>16g46'23''</v>
      </c>
      <c r="F62" s="7">
        <f t="shared" ref="F62:F70" si="6">I32</f>
        <v>16.77316560676687</v>
      </c>
      <c r="G62" s="7">
        <f t="shared" ref="G62:G68" si="7">ROUNDDOWN(F62*9/30,0)+1</f>
        <v>6</v>
      </c>
      <c r="H62" s="7">
        <f>VLOOKUP(D62+1,Данные!B$3:D$14,3)</f>
        <v>5</v>
      </c>
      <c r="I62" s="7">
        <f t="shared" ref="I62:I70" si="8">D62+G62+H62-(12*J62)-1</f>
        <v>9</v>
      </c>
      <c r="J62" s="6">
        <v>1</v>
      </c>
      <c r="K62" s="7">
        <f t="shared" ref="K62:K70" si="9">(F62+D62*30)</f>
        <v>346.7731656067669</v>
      </c>
      <c r="L62" s="7">
        <f t="shared" ref="L62:L70" si="10">ROUNDDOWN((F62+D62*30)*27/360,0)+1</f>
        <v>27</v>
      </c>
      <c r="M62" s="7" t="str">
        <f>VLOOKUP(L62,Данные!G$5:M$31,2)</f>
        <v>Ревати</v>
      </c>
    </row>
    <row r="63" spans="2:13" ht="16.5" thickBot="1" x14ac:dyDescent="0.3">
      <c r="B63" s="12" t="s">
        <v>97</v>
      </c>
      <c r="C63" s="14" t="str">
        <f t="shared" si="3"/>
        <v>C Близнецы</v>
      </c>
      <c r="D63" s="7">
        <f t="shared" si="4"/>
        <v>2</v>
      </c>
      <c r="E63" s="7" t="str">
        <f t="shared" si="5"/>
        <v>20g50'22''</v>
      </c>
      <c r="F63" s="7">
        <f t="shared" si="6"/>
        <v>20.839513504143412</v>
      </c>
      <c r="G63" s="7">
        <f t="shared" si="7"/>
        <v>7</v>
      </c>
      <c r="H63" s="7">
        <v>1</v>
      </c>
      <c r="I63" s="7">
        <f t="shared" si="8"/>
        <v>9</v>
      </c>
      <c r="J63" s="6"/>
      <c r="K63" s="7">
        <f t="shared" si="9"/>
        <v>80.839513504143412</v>
      </c>
      <c r="L63" s="7">
        <f t="shared" si="10"/>
        <v>7</v>
      </c>
      <c r="M63" s="7" t="str">
        <f>VLOOKUP(L63,Данные!G$5:M$31,2)</f>
        <v>Пунарвасу</v>
      </c>
    </row>
    <row r="64" spans="2:13" ht="16.5" thickBot="1" x14ac:dyDescent="0.3">
      <c r="B64" s="12" t="s">
        <v>98</v>
      </c>
      <c r="C64" s="14" t="str">
        <f t="shared" si="3"/>
        <v>K Водолей</v>
      </c>
      <c r="D64" s="7">
        <f t="shared" si="4"/>
        <v>10</v>
      </c>
      <c r="E64" s="7" t="str">
        <f t="shared" si="5"/>
        <v>20g13'0''</v>
      </c>
      <c r="F64" s="7">
        <f t="shared" si="6"/>
        <v>20.216942902291564</v>
      </c>
      <c r="G64" s="7">
        <f t="shared" si="7"/>
        <v>7</v>
      </c>
      <c r="H64" s="7">
        <f>VLOOKUP(D64+1,Данные!B$3:D$14,3)</f>
        <v>9</v>
      </c>
      <c r="I64" s="7">
        <f t="shared" si="8"/>
        <v>13</v>
      </c>
      <c r="J64" s="6">
        <v>1</v>
      </c>
      <c r="K64" s="7">
        <f t="shared" si="9"/>
        <v>320.21694290229158</v>
      </c>
      <c r="L64" s="7">
        <f t="shared" si="10"/>
        <v>25</v>
      </c>
      <c r="M64" s="7" t="str">
        <f>VLOOKUP(L64,Данные!G$5:M$31,2)</f>
        <v>П. Бхадрапад</v>
      </c>
    </row>
    <row r="65" spans="2:13" ht="16.5" thickBot="1" x14ac:dyDescent="0.3">
      <c r="B65" s="12" t="s">
        <v>99</v>
      </c>
      <c r="C65" s="14" t="str">
        <f t="shared" si="3"/>
        <v>K Водолей</v>
      </c>
      <c r="D65" s="7">
        <f t="shared" si="4"/>
        <v>10</v>
      </c>
      <c r="E65" s="7" t="str">
        <f t="shared" si="5"/>
        <v>0g19'11''</v>
      </c>
      <c r="F65" s="7">
        <f t="shared" si="6"/>
        <v>0.31997916772365897</v>
      </c>
      <c r="G65" s="7">
        <f t="shared" si="7"/>
        <v>1</v>
      </c>
      <c r="H65" s="7">
        <v>1</v>
      </c>
      <c r="I65" s="7">
        <f t="shared" si="8"/>
        <v>-1</v>
      </c>
      <c r="J65" s="6">
        <v>1</v>
      </c>
      <c r="K65" s="7">
        <f t="shared" si="9"/>
        <v>300.31997916772366</v>
      </c>
      <c r="L65" s="7">
        <f t="shared" si="10"/>
        <v>23</v>
      </c>
      <c r="M65" s="7" t="str">
        <f>VLOOKUP(L65,Данные!G$5:M$31,2)</f>
        <v>Дхаништха</v>
      </c>
    </row>
    <row r="66" spans="2:13" ht="16.5" thickBot="1" x14ac:dyDescent="0.3">
      <c r="B66" s="12" t="s">
        <v>100</v>
      </c>
      <c r="C66" s="14" t="str">
        <f t="shared" si="3"/>
        <v>B Телец</v>
      </c>
      <c r="D66" s="7">
        <f t="shared" si="4"/>
        <v>1</v>
      </c>
      <c r="E66" s="7" t="str">
        <f t="shared" si="5"/>
        <v>24g42'58''</v>
      </c>
      <c r="F66" s="7">
        <f t="shared" si="6"/>
        <v>24.716361883773043</v>
      </c>
      <c r="G66" s="7">
        <f t="shared" si="7"/>
        <v>8</v>
      </c>
      <c r="H66" s="7">
        <f>VLOOKUP(D66+1,Данные!B$3:D$14,3)</f>
        <v>9</v>
      </c>
      <c r="I66" s="7">
        <f t="shared" si="8"/>
        <v>5</v>
      </c>
      <c r="J66" s="6">
        <v>1</v>
      </c>
      <c r="K66" s="7">
        <f t="shared" si="9"/>
        <v>54.716361883773047</v>
      </c>
      <c r="L66" s="7">
        <f t="shared" si="10"/>
        <v>5</v>
      </c>
      <c r="M66" s="7" t="str">
        <f>VLOOKUP(L66,Данные!G$5:M$31,2)</f>
        <v>Мригашира</v>
      </c>
    </row>
    <row r="67" spans="2:13" ht="16.5" thickBot="1" x14ac:dyDescent="0.3">
      <c r="B67" s="12" t="s">
        <v>101</v>
      </c>
      <c r="C67" s="14" t="str">
        <f t="shared" si="3"/>
        <v>K Водолей</v>
      </c>
      <c r="D67" s="7">
        <f t="shared" si="4"/>
        <v>10</v>
      </c>
      <c r="E67" s="7" t="str">
        <f t="shared" si="5"/>
        <v>11g41'34''</v>
      </c>
      <c r="F67" s="7">
        <f t="shared" si="6"/>
        <v>11.693041667723659</v>
      </c>
      <c r="G67" s="7">
        <f t="shared" si="7"/>
        <v>4</v>
      </c>
      <c r="H67" s="7">
        <v>1</v>
      </c>
      <c r="I67" s="7">
        <f t="shared" si="8"/>
        <v>14</v>
      </c>
      <c r="J67" s="6"/>
      <c r="K67" s="7">
        <f t="shared" si="9"/>
        <v>311.69304166772366</v>
      </c>
      <c r="L67" s="7">
        <f t="shared" si="10"/>
        <v>24</v>
      </c>
      <c r="M67" s="7" t="str">
        <f>VLOOKUP(L67,Данные!G$5:M$31,2)</f>
        <v>Сатабхиша</v>
      </c>
    </row>
    <row r="68" spans="2:13" ht="16.5" thickBot="1" x14ac:dyDescent="0.3">
      <c r="B68" s="12" t="s">
        <v>102</v>
      </c>
      <c r="C68" s="14" t="str">
        <f t="shared" si="3"/>
        <v>C Близнецы</v>
      </c>
      <c r="D68" s="7">
        <f t="shared" si="4"/>
        <v>2</v>
      </c>
      <c r="E68" s="7" t="str">
        <f t="shared" si="5"/>
        <v>5g11'8''</v>
      </c>
      <c r="F68" s="7">
        <f t="shared" si="6"/>
        <v>5.1857743066125508</v>
      </c>
      <c r="G68" s="7">
        <f t="shared" si="7"/>
        <v>2</v>
      </c>
      <c r="H68" s="7">
        <f>VLOOKUP(D68+1,Данные!B$3:D$14,3)</f>
        <v>5</v>
      </c>
      <c r="I68" s="7">
        <f t="shared" si="8"/>
        <v>-4</v>
      </c>
      <c r="J68" s="6">
        <v>1</v>
      </c>
      <c r="K68" s="7">
        <f t="shared" si="9"/>
        <v>65.185774306612558</v>
      </c>
      <c r="L68" s="7">
        <f t="shared" si="10"/>
        <v>5</v>
      </c>
      <c r="M68" s="7" t="str">
        <f>VLOOKUP(L68,Данные!G$5:M$31,2)</f>
        <v>Мригашира</v>
      </c>
    </row>
    <row r="69" spans="2:13" ht="16.5" thickBot="1" x14ac:dyDescent="0.3">
      <c r="B69" s="12" t="s">
        <v>103</v>
      </c>
      <c r="C69" s="14" t="str">
        <f t="shared" si="3"/>
        <v>C Близнецы</v>
      </c>
      <c r="D69" s="7">
        <f t="shared" si="4"/>
        <v>2</v>
      </c>
      <c r="E69" s="7" t="str">
        <f t="shared" si="5"/>
        <v>29g41'28''</v>
      </c>
      <c r="F69" s="7">
        <f t="shared" si="6"/>
        <v>29.69123302574835</v>
      </c>
      <c r="G69" s="7">
        <f>ROUNDDOWN(F69*9/30,0)+1</f>
        <v>9</v>
      </c>
      <c r="H69" s="7">
        <f>VLOOKUP(D69+1,Данные!B$3:D$14,3)</f>
        <v>5</v>
      </c>
      <c r="I69" s="7">
        <f t="shared" si="8"/>
        <v>3</v>
      </c>
      <c r="J69" s="6">
        <v>1</v>
      </c>
      <c r="K69" s="7">
        <f t="shared" si="9"/>
        <v>89.691233025748346</v>
      </c>
      <c r="L69" s="7">
        <f t="shared" si="10"/>
        <v>7</v>
      </c>
      <c r="M69" s="7" t="str">
        <f>VLOOKUP(L69,Данные!G$5:M$31,2)</f>
        <v>Пунарвасу</v>
      </c>
    </row>
    <row r="70" spans="2:13" ht="16.5" thickBot="1" x14ac:dyDescent="0.3">
      <c r="B70" s="12" t="s">
        <v>104</v>
      </c>
      <c r="C70" s="14" t="str">
        <f t="shared" si="3"/>
        <v>I Стрелец</v>
      </c>
      <c r="D70" s="7">
        <f t="shared" si="4"/>
        <v>8</v>
      </c>
      <c r="E70" s="7" t="str">
        <f t="shared" si="5"/>
        <v>29g41'28''</v>
      </c>
      <c r="F70" s="7">
        <f t="shared" si="6"/>
        <v>29.69123302574835</v>
      </c>
      <c r="G70" s="7">
        <f>ROUNDDOWN(F70*9/30,0)+1</f>
        <v>9</v>
      </c>
      <c r="H70" s="7">
        <f>VLOOKUP(D70+1,Данные!B$3:D$14,3)</f>
        <v>5</v>
      </c>
      <c r="I70" s="7">
        <f t="shared" si="8"/>
        <v>9</v>
      </c>
      <c r="J70" s="6">
        <v>1</v>
      </c>
      <c r="K70" s="7">
        <f t="shared" si="9"/>
        <v>269.69123302574837</v>
      </c>
      <c r="L70" s="7">
        <f t="shared" si="10"/>
        <v>21</v>
      </c>
      <c r="M70" s="7" t="str">
        <f>VLOOKUP(L70,Данные!G$5:M$31,2)</f>
        <v>У. Ашадха</v>
      </c>
    </row>
    <row r="71" spans="2:13" ht="15.75" thickBot="1" x14ac:dyDescent="0.3"/>
    <row r="72" spans="2:13" ht="15.75" thickTop="1" x14ac:dyDescent="0.25">
      <c r="D72" s="15"/>
      <c r="E72" s="15" t="s">
        <v>100</v>
      </c>
      <c r="F72" s="15" t="s">
        <v>99</v>
      </c>
      <c r="G72" s="22"/>
    </row>
    <row r="73" spans="2:13" x14ac:dyDescent="0.25">
      <c r="D73" s="16"/>
      <c r="E73" s="16"/>
      <c r="F73" s="16"/>
      <c r="G73" s="16" t="s">
        <v>103</v>
      </c>
    </row>
    <row r="74" spans="2:13" x14ac:dyDescent="0.25">
      <c r="D74" s="16"/>
      <c r="E74" s="16"/>
      <c r="F74" s="16"/>
      <c r="G74" s="16"/>
    </row>
    <row r="75" spans="2:13" ht="15.75" thickBot="1" x14ac:dyDescent="0.3">
      <c r="D75" s="17" t="s">
        <v>94</v>
      </c>
      <c r="E75" s="18" t="s">
        <v>82</v>
      </c>
      <c r="F75" s="19" t="s">
        <v>90</v>
      </c>
      <c r="G75" s="20" t="s">
        <v>91</v>
      </c>
    </row>
    <row r="76" spans="2:13" ht="15.75" thickTop="1" x14ac:dyDescent="0.25">
      <c r="D76" s="15"/>
      <c r="E76" s="21"/>
      <c r="F76" s="21"/>
      <c r="G76" s="15" t="s">
        <v>96</v>
      </c>
    </row>
    <row r="77" spans="2:13" x14ac:dyDescent="0.25">
      <c r="D77" s="16"/>
      <c r="E77" s="21"/>
      <c r="F77" s="21"/>
      <c r="G77" s="16"/>
    </row>
    <row r="78" spans="2:13" x14ac:dyDescent="0.25">
      <c r="D78" s="16"/>
      <c r="E78" s="21"/>
      <c r="F78" s="21"/>
      <c r="G78" s="16"/>
    </row>
    <row r="79" spans="2:13" ht="15.75" thickBot="1" x14ac:dyDescent="0.3">
      <c r="D79" s="20" t="s">
        <v>84</v>
      </c>
      <c r="E79" s="32" t="s">
        <v>108</v>
      </c>
      <c r="F79" s="33"/>
      <c r="G79" s="17" t="s">
        <v>87</v>
      </c>
    </row>
    <row r="80" spans="2:13" ht="15.75" thickTop="1" x14ac:dyDescent="0.25">
      <c r="D80" s="15" t="s">
        <v>97</v>
      </c>
      <c r="E80" s="34"/>
      <c r="F80" s="33"/>
      <c r="G80" s="15"/>
    </row>
    <row r="81" spans="4:7" x14ac:dyDescent="0.25">
      <c r="D81" s="16" t="s">
        <v>101</v>
      </c>
      <c r="E81" s="21"/>
      <c r="F81" s="21"/>
      <c r="G81" s="16"/>
    </row>
    <row r="82" spans="4:7" x14ac:dyDescent="0.25">
      <c r="D82" s="16"/>
      <c r="E82" s="21"/>
      <c r="F82" s="21"/>
      <c r="G82" s="16"/>
    </row>
    <row r="83" spans="4:7" ht="15.75" thickBot="1" x14ac:dyDescent="0.3">
      <c r="D83" s="19" t="s">
        <v>83</v>
      </c>
      <c r="E83" s="21"/>
      <c r="F83" s="21"/>
      <c r="G83" s="18" t="s">
        <v>88</v>
      </c>
    </row>
    <row r="84" spans="4:7" ht="15.75" thickTop="1" x14ac:dyDescent="0.25">
      <c r="D84" s="15" t="s">
        <v>104</v>
      </c>
      <c r="E84" s="15"/>
      <c r="F84" s="15" t="s">
        <v>98</v>
      </c>
      <c r="G84" s="15" t="s">
        <v>102</v>
      </c>
    </row>
    <row r="85" spans="4:7" x14ac:dyDescent="0.25">
      <c r="D85" s="16"/>
      <c r="E85" s="16"/>
      <c r="F85" s="16"/>
      <c r="G85" s="16"/>
    </row>
    <row r="86" spans="4:7" x14ac:dyDescent="0.25">
      <c r="D86" s="16"/>
      <c r="E86" s="16"/>
      <c r="F86" s="16"/>
      <c r="G86" s="16"/>
    </row>
    <row r="87" spans="4:7" ht="15.75" thickBot="1" x14ac:dyDescent="0.3">
      <c r="D87" s="18" t="s">
        <v>93</v>
      </c>
      <c r="E87" s="17" t="s">
        <v>86</v>
      </c>
      <c r="F87" s="20" t="s">
        <v>85</v>
      </c>
      <c r="G87" s="19" t="s">
        <v>92</v>
      </c>
    </row>
    <row r="88" spans="4:7" ht="15.75" thickTop="1" x14ac:dyDescent="0.25"/>
  </sheetData>
  <mergeCells count="2">
    <mergeCell ref="E50:F51"/>
    <mergeCell ref="E79:F8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Данные!$E$3:$E$11</xm:f>
          </x14:formula1>
          <xm:sqref>B32:B40 G80:G82 D43:G45 D55:G57 D76:D78 D80:D82 N62:N70 G47:G49 G51:G53 D47:D49 D51:D53 B62:B70 D72:G74 D84:G86 G76:G78 N32:N40</xm:sqref>
        </x14:dataValidation>
        <x14:dataValidation type="list" allowBlank="1" showInputMessage="1" showErrorMessage="1">
          <x14:formula1>
            <xm:f>Данные!$C$3:$C$14</xm:f>
          </x14:formula1>
          <xm:sqref>C32:C40 F32:F40 D46:G46 G50 G54 D58:G58 D54 D50 C20 D75:G75 G79 G83 D87:G87 D83 D79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Расчет</vt:lpstr>
      <vt:lpstr>Данные</vt:lpstr>
      <vt:lpstr>Расчет (2)</vt:lpstr>
    </vt:vector>
  </TitlesOfParts>
  <Company>JT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Kravtsov, Sergey</dc:creator>
  <cp:lastModifiedBy>Kravtsov, Sergey</cp:lastModifiedBy>
  <dcterms:created xsi:type="dcterms:W3CDTF">2013-04-26T15:52:00Z</dcterms:created>
  <dcterms:modified xsi:type="dcterms:W3CDTF">2013-05-02T11:56:07Z</dcterms:modified>
</cp:coreProperties>
</file>